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MyJSPANKXGBFRknnwp94Od8GLCTMAMMflxjIl5R5xVmQpT/CTdNnZ2eMf1rr2hhM0nt32z1vPTGWbb+pB//cw==" workbookSaltValue="fk0lc28PBhtc0ZY9ReEO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X12" i="17"/>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BF23" i="13"/>
  <c r="AP16" i="20"/>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2" i="11"/>
  <c r="V13" i="11"/>
  <c r="V9" i="11"/>
  <c r="BI19" i="11"/>
  <c r="BJ16" i="11"/>
  <c r="BJ23" i="11" s="1"/>
  <c r="AP22" i="20"/>
  <c r="R25" i="14"/>
  <c r="V20" i="11"/>
  <c r="BL25" i="11"/>
  <c r="Q25" i="11" s="1"/>
  <c r="BG19" i="11"/>
  <c r="AZ9" i="11"/>
  <c r="BL29" i="11"/>
  <c r="BV18" i="16"/>
  <c r="BU18" i="17"/>
  <c r="P16" i="17"/>
  <c r="BK20" i="11"/>
  <c r="BJ10" i="11"/>
  <c r="Q16" i="17"/>
  <c r="BK10" i="11"/>
  <c r="L17" i="2"/>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BW20" i="20"/>
  <c r="BV12" i="16"/>
  <c r="BV16" i="16"/>
  <c r="U10" i="17"/>
  <c r="BU12" i="17"/>
  <c r="S25" i="17"/>
  <c r="AZ11" i="11"/>
  <c r="BF12" i="11"/>
  <c r="BH25" i="16"/>
  <c r="BF16" i="11"/>
  <c r="BL22" i="11"/>
  <c r="BI22" i="11"/>
  <c r="L28" i="2"/>
  <c r="AA11" i="16"/>
  <c r="P23" i="17"/>
  <c r="P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L31" i="21"/>
  <c r="AA31" i="11"/>
  <c r="S31" i="16"/>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<sst xmlns="http://schemas.openxmlformats.org/spreadsheetml/2006/main" count="2682" uniqueCount="1193">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</sst>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LyeN7vLhB8+q36B65R8Q8Ie2JQ+MpFezgbTPeucQONXLKDxAtsgJr93IjmPCWBF7xIAenncH9P+POXofut5rw==" saltValue="6DMDKIJ1C5KjlI7gqPIC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15</v>
      </c>
      <c r="F10" s="240">
        <f>IF(ISNUMBER(Datos!K10),Datos!K10," - ")</f>
        <v>16</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-3.125E-2</v>
      </c>
      <c r="L10" s="1402">
        <f>IF(ISNUMBER(NºAsuntos!I10/NºAsuntos!G10),(NºAsuntos!I10/NºAsuntos!G10)*11," - ")</f>
        <v>21.3125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18.658566221142163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15</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848</v>
      </c>
      <c r="D17" s="239">
        <f>IF(ISNUMBER(IF(D_I="SI",Datos!I17,Datos!I17+Datos!AC17)),IF(D_I="SI",Datos!I17,Datos!I17+Datos!AC17)," - ")</f>
        <v>847</v>
      </c>
      <c r="E17" s="240">
        <f>IF(ISNUMBER(IF(D_I="SI",Datos!J17,Datos!J17+Datos!AD17)),IF(D_I="SI",Datos!J17,Datos!J17+Datos!AD17)," - ")</f>
        <v>1686</v>
      </c>
      <c r="F17" s="240">
        <f>IF(ISNUMBER(IF(D_I="SI",Datos!K17,Datos!K17+Datos!AE17)),IF(D_I="SI",Datos!K17,Datos!K17+Datos!AE17)," - ")</f>
        <v>1558</v>
      </c>
      <c r="G17" s="1390" t="str">
        <f>IF(Datos!E17&lt;&gt;"",Datos!E17,Datos!D17)</f>
        <v>04</v>
      </c>
      <c r="H17" s="241">
        <f>IF(ISNUMBER(IF(D_I="SI",Datos!L17,Datos!L17+Datos!AF17)),IF(D_I="SI",Datos!L17,Datos!L17+Datos!AF17)," - ")</f>
        <v>976</v>
      </c>
      <c r="I17" s="1400" t="str">
        <f>IF(ISNUMBER(Datos!AS17/Datos!BM17),Datos!AS17/Datos!BM17," - ")</f>
        <v xml:space="preserve"> - </v>
      </c>
      <c r="J17" s="1401">
        <f>IF(ISNUMBER(Datos!BY17/Datos!CN17),Datos!BY17/Datos!CN17," - ")</f>
        <v>0</v>
      </c>
      <c r="K17" s="244">
        <f t="shared" si="3"/>
        <v>0.15094339622641509</v>
      </c>
      <c r="L17" s="1402">
        <f>IF(ISNUMBER(NºAsuntos!I17/NºAsuntos!G17),(NºAsuntos!I17/NºAsuntos!G17)*11," - ")</f>
        <v>6.8908857509627728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135</v>
      </c>
      <c r="F18" s="240">
        <f>IF(ISNUMBER(IF(D_I="SI",Datos!K18,Datos!K18+Datos!AE18)),IF(D_I="SI",Datos!K18,Datos!K18+Datos!AE18)," - ")</f>
        <v>105</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0.46875</v>
      </c>
      <c r="L18" s="1402">
        <f>IF(ISNUMBER(NºAsuntos!I18/NºAsuntos!G18),(NºAsuntos!I18/NºAsuntos!G18)*11," - ")</f>
        <v>9.8476190476190482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912</v>
      </c>
      <c r="D23" s="1407">
        <f>SUBTOTAL(9,D16:D22)</f>
        <v>911</v>
      </c>
      <c r="E23" s="1408">
        <f>SUBTOTAL(9,E16:E22)</f>
        <v>1821</v>
      </c>
      <c r="F23" s="1408">
        <f>SUBTOTAL(9,F16:F22)</f>
        <v>1663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944</v>
      </c>
      <c r="D31" s="1435">
        <f>SUBTOTAL(9,D9:D30)</f>
        <v>943</v>
      </c>
      <c r="E31" s="1436">
        <f>SUBTOTAL(9,E9:E30)</f>
        <v>1836</v>
      </c>
      <c r="F31" s="1436">
        <f>SUBTOTAL(9,F9:F30)</f>
        <v>1679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X5CpmF7pJJl6J4FBgEgupTeqtXTNFKbtS9DP6Bt9M3IQ1u7c6LUaK3d7EAoyNTeUwxr76ZXGeoUlQnnWqzNug==" saltValue="K6uC7H5KaG4ON3de06SS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uKi44dbF47WojFA/NTzsYwabfwT7RrotarpbRNxd5RrJz9mG4af+M8m558zHY6xOQNs2b5jB3WhSc3xY0m7UA==" saltValue="8BwbPI0yEGcNdGQ70GJ5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15</v>
      </c>
      <c r="K10" s="194">
        <v>16</v>
      </c>
      <c r="L10" s="194">
        <v>31</v>
      </c>
      <c r="M10" s="194">
        <v>4</v>
      </c>
      <c r="N10" s="194">
        <v>6</v>
      </c>
      <c r="O10" s="194">
        <v>0</v>
      </c>
      <c r="P10" s="194">
        <v>1</v>
      </c>
      <c r="Q10" s="194">
        <v>0</v>
      </c>
      <c r="R10" s="194">
        <v>21</v>
      </c>
      <c r="S10" s="194">
        <v>31</v>
      </c>
      <c r="T10" s="194">
        <v>9</v>
      </c>
      <c r="U10" s="194">
        <v>6</v>
      </c>
      <c r="V10" s="194">
        <v>34</v>
      </c>
      <c r="W10" s="194">
        <v>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31</v>
      </c>
      <c r="AZ10" s="139">
        <f t="shared" si="0"/>
        <v>9</v>
      </c>
      <c r="BA10" s="139">
        <f t="shared" si="0"/>
        <v>6</v>
      </c>
      <c r="BB10" s="139">
        <f t="shared" si="0"/>
        <v>34</v>
      </c>
      <c r="BC10" s="135">
        <f t="shared" si="0"/>
        <v>6</v>
      </c>
      <c r="BD10" s="136">
        <f>IF(ISNUMBER(BA10/AZ10),BA10/AZ10," - ")</f>
        <v>0.66666666666666663</v>
      </c>
      <c r="BE10" s="137">
        <f>IF(ISNUMBER(BB10/BA10),BB10/BA10, " - ")</f>
        <v>5.666666666666667</v>
      </c>
      <c r="BF10" s="137">
        <f>IF(ISNUMBER(BC10/BA10),BC10/BA10, " - ")</f>
        <v>1</v>
      </c>
      <c r="BG10" s="209">
        <f>IF(ISNUMBER((AY10+AZ10)/BA10),(AY10+AZ10)/BA10," - ")</f>
        <v>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2601</v>
      </c>
      <c r="J12" s="196">
        <v>1355</v>
      </c>
      <c r="K12" s="196">
        <v>1238</v>
      </c>
      <c r="L12" s="196">
        <v>2720</v>
      </c>
      <c r="M12" s="196">
        <v>257</v>
      </c>
      <c r="N12" s="196">
        <v>857</v>
      </c>
      <c r="O12" s="194">
        <v>511</v>
      </c>
      <c r="P12" s="196">
        <v>591</v>
      </c>
      <c r="Q12" s="196">
        <v>556</v>
      </c>
      <c r="R12" s="196">
        <v>5628</v>
      </c>
      <c r="S12" s="196">
        <v>2441</v>
      </c>
      <c r="T12" s="196">
        <v>1152</v>
      </c>
      <c r="U12" s="196">
        <v>1098</v>
      </c>
      <c r="V12" s="196">
        <v>2494</v>
      </c>
      <c r="W12" s="196">
        <v>349</v>
      </c>
      <c r="X12" s="202">
        <v>826</v>
      </c>
      <c r="Y12" s="204">
        <v>87</v>
      </c>
      <c r="Z12" s="194">
        <v>413</v>
      </c>
      <c r="AA12" s="194">
        <v>408</v>
      </c>
      <c r="AB12" s="194">
        <v>72</v>
      </c>
      <c r="AC12" s="196">
        <v>0</v>
      </c>
      <c r="AD12" s="196">
        <v>0</v>
      </c>
      <c r="AE12" s="196">
        <v>0</v>
      </c>
      <c r="AF12" s="202">
        <v>0</v>
      </c>
      <c r="AG12" s="215">
        <v>70</v>
      </c>
      <c r="AH12" s="196">
        <v>451</v>
      </c>
      <c r="AI12" s="196">
        <v>424</v>
      </c>
      <c r="AJ12" s="216">
        <v>97</v>
      </c>
      <c r="AK12" s="195">
        <v>0</v>
      </c>
      <c r="AL12" s="196">
        <v>0</v>
      </c>
      <c r="AM12" s="196">
        <v>0</v>
      </c>
      <c r="AN12" s="202">
        <v>0</v>
      </c>
      <c r="AO12" s="283">
        <v>6</v>
      </c>
      <c r="AP12" s="168">
        <v>6</v>
      </c>
      <c r="AQ12" s="168">
        <v>6</v>
      </c>
      <c r="AR12" s="167">
        <v>6</v>
      </c>
      <c r="AS12" s="381" t="s">
        <v>1075</v>
      </c>
      <c r="AT12" s="216"/>
      <c r="AU12" s="215"/>
      <c r="AV12" s="216"/>
      <c r="AW12" s="215"/>
      <c r="AX12" s="216"/>
      <c r="AY12" s="136">
        <f t="shared" si="1"/>
        <v>2511</v>
      </c>
      <c r="AZ12" s="137">
        <f t="shared" si="1"/>
        <v>1603</v>
      </c>
      <c r="BA12" s="137">
        <f t="shared" si="1"/>
        <v>1522</v>
      </c>
      <c r="BB12" s="137">
        <f t="shared" si="1"/>
        <v>2591</v>
      </c>
      <c r="BC12" s="135">
        <f>IF(ISNUMBER(X12),X12," - ")</f>
        <v>826</v>
      </c>
      <c r="BD12" s="136">
        <f t="shared" si="2"/>
        <v>0.94946974422956953</v>
      </c>
      <c r="BE12" s="137">
        <f t="shared" si="3"/>
        <v>1.702365308804205</v>
      </c>
      <c r="BF12" s="137">
        <f t="shared" si="4"/>
        <v>0.54270696452036793</v>
      </c>
      <c r="BG12" s="209">
        <f t="shared" si="5"/>
        <v>2.7030223390275951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2633</v>
      </c>
      <c r="J14" s="197">
        <f t="shared" si="7"/>
        <v>1370</v>
      </c>
      <c r="K14" s="197">
        <f t="shared" si="7"/>
        <v>1254</v>
      </c>
      <c r="L14" s="197">
        <f t="shared" si="7"/>
        <v>2751</v>
      </c>
      <c r="M14" s="197">
        <f t="shared" si="7"/>
        <v>261</v>
      </c>
      <c r="N14" s="197">
        <f t="shared" si="7"/>
        <v>863</v>
      </c>
      <c r="O14" s="197">
        <f t="shared" si="7"/>
        <v>511</v>
      </c>
      <c r="P14" s="197">
        <f t="shared" si="7"/>
        <v>592</v>
      </c>
      <c r="Q14" s="197">
        <f t="shared" si="7"/>
        <v>556</v>
      </c>
      <c r="R14" s="197">
        <f t="shared" si="7"/>
        <v>5649</v>
      </c>
      <c r="S14" s="197">
        <f t="shared" si="7"/>
        <v>2472</v>
      </c>
      <c r="T14" s="197">
        <f t="shared" si="7"/>
        <v>1161</v>
      </c>
      <c r="U14" s="197">
        <f t="shared" si="7"/>
        <v>1104</v>
      </c>
      <c r="V14" s="197">
        <f t="shared" si="7"/>
        <v>2528</v>
      </c>
      <c r="W14" s="197">
        <f t="shared" si="7"/>
        <v>355</v>
      </c>
      <c r="X14" s="197">
        <f t="shared" si="7"/>
        <v>826</v>
      </c>
      <c r="Y14" s="197">
        <f t="shared" si="7"/>
        <v>87</v>
      </c>
      <c r="Z14" s="197">
        <f t="shared" si="7"/>
        <v>413</v>
      </c>
      <c r="AA14" s="197">
        <f t="shared" si="7"/>
        <v>408</v>
      </c>
      <c r="AB14" s="197">
        <f t="shared" si="7"/>
        <v>72</v>
      </c>
      <c r="AC14" s="197">
        <f t="shared" si="7"/>
        <v>0</v>
      </c>
      <c r="AD14" s="197">
        <f t="shared" si="7"/>
        <v>0</v>
      </c>
      <c r="AE14" s="197">
        <f t="shared" si="7"/>
        <v>0</v>
      </c>
      <c r="AF14" s="197">
        <f>SUBTOTAL(9,AF9:AF13)</f>
        <v>0</v>
      </c>
      <c r="AG14" s="197">
        <f t="shared" ref="AG14:AT14" si="8">SUBTOTAL(9,AG8:AG13)</f>
        <v>70</v>
      </c>
      <c r="AH14" s="197">
        <f t="shared" si="8"/>
        <v>451</v>
      </c>
      <c r="AI14" s="197">
        <f t="shared" si="8"/>
        <v>424</v>
      </c>
      <c r="AJ14" s="197">
        <f t="shared" si="8"/>
        <v>97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2542</v>
      </c>
      <c r="AZ14" s="197">
        <f>SUBTOTAL(9,AZ8:AZ13)</f>
        <v>1612</v>
      </c>
      <c r="BA14" s="197">
        <f>SUBTOTAL(9,BA8:BA13)</f>
        <v>1528</v>
      </c>
      <c r="BB14" s="197">
        <f>SUBTOTAL(9,BB8:BB13)</f>
        <v>2625</v>
      </c>
      <c r="BC14" s="197">
        <f>SUBTOTAL(9,BC8:BC13)</f>
        <v>832</v>
      </c>
      <c r="BD14" s="219">
        <f>IF(ISNUMBER(BA14/AZ14),BA14/AZ14," - ")</f>
        <v>0.94789081885856075</v>
      </c>
      <c r="BE14" s="220">
        <f>IF(ISNUMBER(BB14/BA14),BB14/BA14, " - ")</f>
        <v>1.7179319371727748</v>
      </c>
      <c r="BF14" s="220">
        <f>IF(ISNUMBER(BC14/BA14),BC14/BA14, " - ")</f>
        <v>0.54450261780104714</v>
      </c>
      <c r="BG14" s="221">
        <f>IF(ISNUMBER((AY14+AZ14)/BA14),(AY14+AZ14)/BA14," - ")</f>
        <v>2.7185863874345548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847</v>
      </c>
      <c r="J17" s="196">
        <v>1686</v>
      </c>
      <c r="K17" s="196">
        <v>1558</v>
      </c>
      <c r="L17" s="196">
        <v>976</v>
      </c>
      <c r="M17" s="196">
        <v>178</v>
      </c>
      <c r="N17" s="196">
        <v>1182</v>
      </c>
      <c r="O17" s="194">
        <v>0</v>
      </c>
      <c r="P17" s="196">
        <v>42</v>
      </c>
      <c r="Q17" s="196">
        <v>94</v>
      </c>
      <c r="R17" s="196">
        <v>325</v>
      </c>
      <c r="S17" s="196">
        <v>736</v>
      </c>
      <c r="T17" s="196">
        <v>1332</v>
      </c>
      <c r="U17" s="196">
        <v>1270</v>
      </c>
      <c r="V17" s="196">
        <v>799</v>
      </c>
      <c r="W17" s="196">
        <v>164</v>
      </c>
      <c r="X17" s="202">
        <v>921</v>
      </c>
      <c r="Y17" s="215">
        <v>0</v>
      </c>
      <c r="Z17" s="196">
        <v>0</v>
      </c>
      <c r="AA17" s="196">
        <v>0</v>
      </c>
      <c r="AB17" s="196">
        <v>0</v>
      </c>
      <c r="AC17" s="196">
        <v>0</v>
      </c>
      <c r="AD17" s="196">
        <v>9</v>
      </c>
      <c r="AE17" s="196">
        <v>9</v>
      </c>
      <c r="AF17" s="202">
        <v>0</v>
      </c>
      <c r="AG17" s="215">
        <v>0</v>
      </c>
      <c r="AH17" s="196">
        <v>0</v>
      </c>
      <c r="AI17" s="196">
        <v>0</v>
      </c>
      <c r="AJ17" s="216">
        <v>0</v>
      </c>
      <c r="AK17" s="195">
        <v>0</v>
      </c>
      <c r="AL17" s="196">
        <v>10</v>
      </c>
      <c r="AM17" s="196">
        <v>10</v>
      </c>
      <c r="AN17" s="202">
        <v>0</v>
      </c>
      <c r="AO17" s="283">
        <v>6</v>
      </c>
      <c r="AP17" s="168">
        <v>6</v>
      </c>
      <c r="AQ17" s="168">
        <v>6</v>
      </c>
      <c r="AR17" s="168">
        <v>6</v>
      </c>
      <c r="AS17" s="381" t="s">
        <v>650</v>
      </c>
      <c r="AT17" s="216"/>
      <c r="AU17" s="215"/>
      <c r="AV17" s="216"/>
      <c r="AW17" s="215"/>
      <c r="AX17" s="216"/>
      <c r="AY17" s="136">
        <f t="shared" si="10"/>
        <v>736</v>
      </c>
      <c r="AZ17" s="137">
        <f t="shared" si="10"/>
        <v>1332</v>
      </c>
      <c r="BA17" s="137">
        <f t="shared" si="10"/>
        <v>1270</v>
      </c>
      <c r="BB17" s="137">
        <f t="shared" si="10"/>
        <v>799</v>
      </c>
      <c r="BC17" s="135">
        <f>IF(ISNUMBER(W17),W17," - ")</f>
        <v>164</v>
      </c>
      <c r="BD17" s="136">
        <f t="shared" ref="BD17:BD22" si="12">IF(ISNUMBER(BA17/AZ17),BA17/AZ17," - ")</f>
        <v>0.95345345345345345</v>
      </c>
      <c r="BE17" s="137">
        <f t="shared" ref="BE17:BE22" si="13">IF(ISNUMBER(BB17/BA17),BB17/BA17, " - ")</f>
        <v>0.62913385826771651</v>
      </c>
      <c r="BF17" s="137">
        <f t="shared" ref="BF17:BF22" si="14">IF(ISNUMBER(BC17/BA17),BC17/BA17, " - ")</f>
        <v>0.12913385826771653</v>
      </c>
      <c r="BG17" s="209">
        <f t="shared" si="11"/>
        <v>1.6283464566929133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135</v>
      </c>
      <c r="K18" s="196">
        <v>105</v>
      </c>
      <c r="L18" s="196">
        <v>94</v>
      </c>
      <c r="M18" s="196">
        <v>11</v>
      </c>
      <c r="N18" s="196">
        <v>47</v>
      </c>
      <c r="O18" s="196">
        <v>0</v>
      </c>
      <c r="P18" s="196">
        <v>0</v>
      </c>
      <c r="Q18" s="196">
        <v>0</v>
      </c>
      <c r="R18" s="196">
        <v>1</v>
      </c>
      <c r="S18" s="196">
        <v>52</v>
      </c>
      <c r="T18" s="196">
        <v>101</v>
      </c>
      <c r="U18" s="196">
        <v>91</v>
      </c>
      <c r="V18" s="196">
        <v>62</v>
      </c>
      <c r="W18" s="196">
        <v>3</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52</v>
      </c>
      <c r="AZ18" s="139">
        <f t="shared" si="15"/>
        <v>101</v>
      </c>
      <c r="BA18" s="139">
        <f t="shared" si="15"/>
        <v>91</v>
      </c>
      <c r="BB18" s="139">
        <f t="shared" si="15"/>
        <v>62</v>
      </c>
      <c r="BC18" s="135">
        <f>IF(ISNUMBER(W18),W18," - ")</f>
        <v>3</v>
      </c>
      <c r="BD18" s="136">
        <f>IF(ISNUMBER(BA18/AZ18),BA18/AZ18," - ")</f>
        <v>0.90099009900990101</v>
      </c>
      <c r="BE18" s="137">
        <f>IF(ISNUMBER(BB18/BA18),BB18/BA18, " - ")</f>
        <v>0.68131868131868134</v>
      </c>
      <c r="BF18" s="137">
        <f>IF(ISNUMBER(BC18/BA18),BC18/BA18, " - ")</f>
        <v>3.2967032967032968E-2</v>
      </c>
      <c r="BG18" s="209">
        <f>IF(ISNUMBER((AY18+AZ18)/BA18),(AY18+AZ18)/BA18," - ")</f>
        <v>1.6813186813186813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911</v>
      </c>
      <c r="J23" s="197">
        <f t="shared" si="21"/>
        <v>1821</v>
      </c>
      <c r="K23" s="197">
        <f t="shared" si="21"/>
        <v>1663</v>
      </c>
      <c r="L23" s="197">
        <f t="shared" si="21"/>
        <v>1070</v>
      </c>
      <c r="M23" s="197">
        <f t="shared" si="21"/>
        <v>189</v>
      </c>
      <c r="N23" s="197">
        <f t="shared" si="21"/>
        <v>1229</v>
      </c>
      <c r="O23" s="197">
        <f t="shared" si="21"/>
        <v>0</v>
      </c>
      <c r="P23" s="197">
        <f t="shared" si="21"/>
        <v>42</v>
      </c>
      <c r="Q23" s="197">
        <f t="shared" si="21"/>
        <v>94</v>
      </c>
      <c r="R23" s="197">
        <f t="shared" si="21"/>
        <v>326</v>
      </c>
      <c r="S23" s="197">
        <f t="shared" si="21"/>
        <v>788</v>
      </c>
      <c r="T23" s="197">
        <f t="shared" si="21"/>
        <v>1433</v>
      </c>
      <c r="U23" s="197">
        <f t="shared" si="21"/>
        <v>1361</v>
      </c>
      <c r="V23" s="197">
        <f t="shared" si="21"/>
        <v>861</v>
      </c>
      <c r="W23" s="197">
        <f t="shared" si="21"/>
        <v>167</v>
      </c>
      <c r="X23" s="197">
        <f t="shared" si="21"/>
        <v>975</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788</v>
      </c>
      <c r="AZ23" s="197">
        <f>SUBTOTAL(9,AZ15:AZ22)</f>
        <v>1433</v>
      </c>
      <c r="BA23" s="197">
        <f>SUBTOTAL(9,BA15:BA22)</f>
        <v>1361</v>
      </c>
      <c r="BB23" s="197">
        <f>SUBTOTAL(9,BB15:BB22)</f>
        <v>861</v>
      </c>
      <c r="BC23" s="197">
        <f>SUBTOTAL(9,BC15:BC22)</f>
        <v>167</v>
      </c>
      <c r="BD23" s="219">
        <f>IF(ISNUMBER(BA23/AZ23),BA23/AZ23," - ")</f>
        <v>0.94975575715282623</v>
      </c>
      <c r="BE23" s="220">
        <f>IF(ISNUMBER(BB23/BA23),BB23/BA23, " - ")</f>
        <v>0.63262307127112416</v>
      </c>
      <c r="BF23" s="220">
        <f>IF(ISNUMBER(BC23/BA23),BC23/BA23, " - ")</f>
        <v>0.12270389419544453</v>
      </c>
      <c r="BG23" s="221">
        <f>IF(ISNUMBER((AY23+AZ23)/BA23),(AY23+AZ23)/BA23," - ")</f>
        <v>1.6318883174136665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3544</v>
      </c>
      <c r="J31" s="144">
        <f t="shared" si="36"/>
        <v>3191</v>
      </c>
      <c r="K31" s="144">
        <f t="shared" si="36"/>
        <v>2917</v>
      </c>
      <c r="L31" s="144">
        <f t="shared" si="36"/>
        <v>3821</v>
      </c>
      <c r="M31" s="144">
        <f t="shared" si="36"/>
        <v>450</v>
      </c>
      <c r="N31" s="144">
        <f t="shared" si="36"/>
        <v>2092</v>
      </c>
      <c r="O31" s="144">
        <f t="shared" si="36"/>
        <v>511</v>
      </c>
      <c r="P31" s="144">
        <f t="shared" si="36"/>
        <v>634</v>
      </c>
      <c r="Q31" s="144">
        <f t="shared" si="36"/>
        <v>650</v>
      </c>
      <c r="R31" s="144">
        <f t="shared" si="36"/>
        <v>5975</v>
      </c>
      <c r="S31" s="144">
        <f t="shared" si="36"/>
        <v>3260</v>
      </c>
      <c r="T31" s="144">
        <f t="shared" si="36"/>
        <v>2594</v>
      </c>
      <c r="U31" s="144">
        <f t="shared" si="36"/>
        <v>2465</v>
      </c>
      <c r="V31" s="144">
        <f t="shared" si="36"/>
        <v>3389</v>
      </c>
      <c r="W31" s="144">
        <f t="shared" si="36"/>
        <v>522</v>
      </c>
      <c r="X31" s="144">
        <f t="shared" si="36"/>
        <v>1801</v>
      </c>
      <c r="Y31" s="144">
        <f t="shared" si="36"/>
        <v>87</v>
      </c>
      <c r="Z31" s="144">
        <f t="shared" si="36"/>
        <v>413</v>
      </c>
      <c r="AA31" s="144">
        <f t="shared" si="36"/>
        <v>408</v>
      </c>
      <c r="AB31" s="144">
        <f t="shared" si="36"/>
        <v>72</v>
      </c>
      <c r="AC31" s="144">
        <f t="shared" si="36"/>
        <v>0</v>
      </c>
      <c r="AD31" s="144">
        <f t="shared" si="36"/>
        <v>9</v>
      </c>
      <c r="AE31" s="144">
        <f t="shared" si="36"/>
        <v>9</v>
      </c>
      <c r="AF31" s="144">
        <f t="shared" si="36"/>
        <v>0</v>
      </c>
      <c r="AG31" s="144">
        <f t="shared" si="36"/>
        <v>70</v>
      </c>
      <c r="AH31" s="144">
        <f t="shared" si="36"/>
        <v>451</v>
      </c>
      <c r="AI31" s="144">
        <f t="shared" si="36"/>
        <v>424</v>
      </c>
      <c r="AJ31" s="144">
        <f t="shared" si="36"/>
        <v>97</v>
      </c>
      <c r="AK31" s="144">
        <f t="shared" si="36"/>
        <v>0</v>
      </c>
      <c r="AL31" s="144">
        <f t="shared" si="36"/>
        <v>10</v>
      </c>
      <c r="AM31" s="144">
        <f t="shared" si="36"/>
        <v>10</v>
      </c>
      <c r="AN31" s="224">
        <f t="shared" si="36"/>
        <v>0</v>
      </c>
      <c r="AO31" s="225">
        <v>7</v>
      </c>
      <c r="AP31" s="225">
        <v>6</v>
      </c>
      <c r="AQ31" s="225">
        <v>6</v>
      </c>
      <c r="AR31" s="225">
        <v>6</v>
      </c>
      <c r="AS31" s="166">
        <f t="shared" si="36"/>
        <v>0</v>
      </c>
      <c r="AT31" s="166">
        <f t="shared" si="36"/>
        <v>0</v>
      </c>
      <c r="AU31" s="225"/>
      <c r="AV31" s="226"/>
      <c r="AW31" s="225"/>
      <c r="AX31" s="226"/>
      <c r="AY31" s="143">
        <f>SUBTOTAL(9,AY9:AY30)</f>
        <v>3330</v>
      </c>
      <c r="AZ31" s="144">
        <f>SUBTOTAL(9,AZ9:AZ30)</f>
        <v>3045</v>
      </c>
      <c r="BA31" s="144">
        <f>SUBTOTAL(9,BA9:BA30)</f>
        <v>2889</v>
      </c>
      <c r="BB31" s="144">
        <f>SUBTOTAL(9,BB9:BB30)</f>
        <v>3486</v>
      </c>
      <c r="BC31" s="145">
        <f>SUBTOTAL(9,BC9:BC30)</f>
        <v>999</v>
      </c>
      <c r="BD31" s="227">
        <f>IF(ISNUMBER(BA31/AZ31),BA31/AZ31," - ")</f>
        <v>0.94876847290640398</v>
      </c>
      <c r="BE31" s="224">
        <f>IF(ISNUMBER(BB31/BA31),BB31/BA31, " - ")</f>
        <v>1.2066458982346833</v>
      </c>
      <c r="BF31" s="224">
        <f>IF(ISNUMBER(BC31/BA31),BC31/BA31, " - ")</f>
        <v>0.34579439252336447</v>
      </c>
      <c r="BG31" s="145">
        <f>IF(ISNUMBER((AY31+AZ31)/BA31),(AY31+AZ31)/BA31," - ")</f>
        <v>2.2066458982346835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YHdvBUgt8PsMtXH1awOLpmxzEdjvEdFBCwJTZhlUFRgHdghdnEFXRO0TUdEfrZBIBlfM0iDr3gKT9/41w351Q==" saltValue="TJFcmxSp+wEgkVzL+bps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b76h4Q5C7Sl2hJ3eAeHBD1LH+VOGyW4Tf6TCEfKrzxW7bKf9zjJH88WjHGXqBxfGre+ECbdGaN+pU16U5nFA==" saltValue="O4QKBfEahKDRa9nhPaEU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BOI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0</v>
      </c>
      <c r="AD10" s="549"/>
      <c r="AE10" s="563"/>
      <c r="AF10" s="551">
        <f>IF(ISNUMBER(Datos!L10),Datos!L10,"-")</f>
        <v>31</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6</v>
      </c>
      <c r="BE10" s="693" t="str">
        <f>IF(ISNUMBER(Datos!BW10),Datos!BW10," - ")</f>
        <v xml:space="preserve"> - </v>
      </c>
      <c r="BF10" s="762" t="str">
        <f>IF(ISNUMBER(Datos!BX10),Datos!BX10," - ")</f>
        <v xml:space="preserve"> - </v>
      </c>
      <c r="BG10" s="763">
        <f>IF(ISNUMBER(Datos!K10/Datos!J10),Datos!K10/Datos!J10," - ")</f>
        <v>1.0666666666666667</v>
      </c>
      <c r="BH10" s="764">
        <f>IF(ISNUMBER(((Datos!L10/Datos!K10)*11)/factor_trimestre),((Datos!L10/Datos!K10)*11)/factor_trimestre," - ")</f>
        <v>5.8125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413</v>
      </c>
      <c r="O12" s="549"/>
      <c r="P12" s="549"/>
      <c r="Q12" s="547">
        <f>IF(ISNUMBER(Datos!P12),Datos!P12,0)</f>
        <v>591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72</v>
      </c>
      <c r="AI12" s="549" t="str">
        <f>IF(ISNUMBER(Datos!CD12),Datos!CD12,"-")</f>
        <v>-</v>
      </c>
      <c r="AJ12" s="549" t="str">
        <f>IF(ISNUMBER(Datos!EN12),Datos!EN12," - ")</f>
        <v xml:space="preserve"> - </v>
      </c>
      <c r="AK12" s="549"/>
      <c r="AL12" s="550"/>
      <c r="AM12" s="766">
        <f>IF(ISNUMBER(Datos!R12),Datos!R12," - ")</f>
        <v>5628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257</v>
      </c>
      <c r="BD12" s="693">
        <f>IF(ISNUMBER(Datos!N12),Datos!N12," - ")</f>
        <v>857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0.9309954751131222</v>
      </c>
      <c r="BH12" s="764">
        <f>IF(ISNUMBER(((IF(J_V="SI",Datos!L12/Datos!K12,(Datos!L12+Datos!AB12)/(Datos!K12+Datos!AA12)))*11)/factor_trimestre),((IF(J_V="SI",Datos!L12/Datos!K12,(Datos!L12+Datos!AB12)/(Datos!K12+Datos!AA12)))*11)/factor_trimestre," - ")</f>
        <v>5.0886998784933173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6.2578222778473091E-3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413</v>
      </c>
      <c r="O14" s="1199">
        <f t="shared" si="1"/>
        <v>0</v>
      </c>
      <c r="P14" s="1199">
        <f t="shared" si="1"/>
        <v>0</v>
      </c>
      <c r="Q14" s="1198">
        <f t="shared" si="1"/>
        <v>592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556</v>
      </c>
      <c r="AD14" s="1198">
        <f t="shared" si="2"/>
        <v>0</v>
      </c>
      <c r="AE14" s="1198">
        <f t="shared" si="2"/>
        <v>0</v>
      </c>
      <c r="AF14" s="1198">
        <f t="shared" si="2"/>
        <v>31</v>
      </c>
      <c r="AG14" s="1198">
        <f t="shared" si="2"/>
        <v>0</v>
      </c>
      <c r="AH14" s="1198">
        <f t="shared" si="2"/>
        <v>72</v>
      </c>
      <c r="AI14" s="1198">
        <f t="shared" si="2"/>
        <v>0</v>
      </c>
      <c r="AJ14" s="1198">
        <f t="shared" si="2"/>
        <v>0</v>
      </c>
      <c r="AK14" s="1198">
        <f t="shared" si="2"/>
        <v>0</v>
      </c>
      <c r="AL14" s="1198">
        <f t="shared" si="2"/>
        <v>0</v>
      </c>
      <c r="AM14" s="1198">
        <f t="shared" si="2"/>
        <v>5649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261</v>
      </c>
      <c r="BD14" s="1198">
        <f t="shared" si="2"/>
        <v>863</v>
      </c>
      <c r="BE14" s="1198">
        <f t="shared" si="2"/>
        <v>0</v>
      </c>
      <c r="BF14" s="1198">
        <f t="shared" si="2"/>
        <v>0</v>
      </c>
      <c r="BG14" s="1198">
        <f>IF(ISNUMBER(Datos!K14/Datos!J14),Datos!K14/Datos!J14," - ")</f>
        <v>0.91532846715328464</v>
      </c>
      <c r="BH14" s="1202">
        <f>IF(ISNUMBER(((Datos!L14/Datos!K14)*11)/factor_trimestre),((Datos!L14/Datos!K14)*11)/factor_trimestre," - ")</f>
        <v>6.5813397129186617</v>
      </c>
      <c r="BI14" s="1198">
        <f>IF(ISNUMBER('Resol  Asuntos'!D14/NºAsuntos!G14),'Resol  Asuntos'!D14/NºAsuntos!G14," - ")</f>
        <v>0.15703971119133575</v>
      </c>
      <c r="BJ14" s="1198" t="str">
        <f>IF(ISNUMBER(Datos!CI14/Datos!CJ14),Datos!CI14/Datos!CJ14," - ")</f>
        <v xml:space="preserve"> - </v>
      </c>
      <c r="BK14" s="1198">
        <f>SUBTOTAL(9,BK8:BK13)</f>
        <v>0</v>
      </c>
      <c r="BL14" s="1198">
        <f>IF(ISNUMBER((I14-AB14+L14)/(F14)),(I14-AB14+L14)/(F14)," - ")</f>
        <v>-0.5</v>
      </c>
      <c r="BM14" s="1203">
        <f>SUBTOTAL(9,BM9:BM13)</f>
        <v>5.6257822277847314E-2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848</v>
      </c>
      <c r="G17" s="743">
        <f>IF(ISNUMBER(IF(D_I="SI",Datos!I17,Datos!I17+Datos!AC17)),IF(D_I="SI",Datos!I17,Datos!I17+Datos!AC17)," - ")</f>
        <v>847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1558</v>
      </c>
      <c r="AC17" s="240">
        <f>IF(ISNUMBER(Datos!Q17),Datos!Q17," - ")</f>
        <v>94</v>
      </c>
      <c r="AD17" s="374"/>
      <c r="AE17" s="562"/>
      <c r="AF17" s="741">
        <f>IF(ISNUMBER(IF(D_I="SI",Datos!L17,Datos!L17+Datos!AF17)),IF(D_I="SI",Datos!L17,Datos!L17+Datos!AF17)," - ")</f>
        <v>976</v>
      </c>
      <c r="AG17" s="374"/>
      <c r="AH17" s="374"/>
      <c r="AI17" s="374"/>
      <c r="AJ17" s="549"/>
      <c r="AK17" s="374"/>
      <c r="AL17" s="545"/>
      <c r="AM17" s="375">
        <f>IF(ISNUMBER(Datos!R17),Datos!R17," - ")</f>
        <v>325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178</v>
      </c>
      <c r="BD17" s="243">
        <f>IF(ISNUMBER(Datos!N17),Datos!N17," - ")</f>
        <v>1182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0.92408066429418745</v>
      </c>
      <c r="BH17" s="764">
        <f>IF(ISNUMBER(((IF(D_I="SI",Datos!L17/Datos!K17,(Datos!L17+Datos!AF17)/(Datos!K17+Datos!AE17)))*11)/factor_trimestre),((IF(D_I="SI",Datos!L17/Datos!K17,(Datos!L17+Datos!AF17)/(Datos!K17+Datos!AE17)))*11)/factor_trimestre," - ")</f>
        <v>1.8793324775353017</v>
      </c>
      <c r="BI17" s="266">
        <f>IF(ISNUMBER('Resol  Asuntos'!D17/NºAsuntos!G17),'Resol  Asuntos'!D17/NºAsuntos!G17," - ")</f>
        <v>0.11424903722721438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v>
      </c>
      <c r="AC18" s="547">
        <f>IF(ISNUMBER(Datos!Q18),Datos!Q18," - ")</f>
        <v>0</v>
      </c>
      <c r="AD18" s="549"/>
      <c r="AE18" s="562"/>
      <c r="AF18" s="551">
        <f>IF(ISNUMBER(Datos!L18),Datos!L18,"-")</f>
        <v>94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2.6857142857142859</v>
      </c>
      <c r="BI18" s="763">
        <f>IF(ISNUMBER('Resol  Asuntos'!D18/NºAsuntos!G18),'Resol  Asuntos'!D18/NºAsuntos!G18," - ")</f>
        <v>0.10476190476190476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848</v>
      </c>
      <c r="G23" s="1197">
        <f>SUBTOTAL(9,G16:G22)</f>
        <v>911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1663</v>
      </c>
      <c r="AC23" s="1198">
        <f t="shared" si="5"/>
        <v>94</v>
      </c>
      <c r="AD23" s="1198">
        <f t="shared" si="5"/>
        <v>0</v>
      </c>
      <c r="AE23" s="1198">
        <f t="shared" si="5"/>
        <v>0</v>
      </c>
      <c r="AF23" s="1198">
        <f t="shared" si="5"/>
        <v>1070</v>
      </c>
      <c r="AG23" s="1198">
        <f t="shared" si="5"/>
        <v>0</v>
      </c>
      <c r="AH23" s="1198">
        <f t="shared" si="5"/>
        <v>0</v>
      </c>
      <c r="AI23" s="1198">
        <f t="shared" si="5"/>
        <v>0</v>
      </c>
      <c r="AJ23" s="1198">
        <f t="shared" si="5"/>
        <v>0</v>
      </c>
      <c r="AK23" s="1198">
        <f t="shared" si="5"/>
        <v>0</v>
      </c>
      <c r="AL23" s="1198">
        <f t="shared" si="5"/>
        <v>0</v>
      </c>
      <c r="AM23" s="1198">
        <f t="shared" si="5"/>
        <v>326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189</v>
      </c>
      <c r="BD23" s="1198">
        <f t="shared" si="5"/>
        <v>1229</v>
      </c>
      <c r="BE23" s="1198">
        <f t="shared" si="5"/>
        <v>0</v>
      </c>
      <c r="BF23" s="1198">
        <f t="shared" si="5"/>
        <v>0</v>
      </c>
      <c r="BG23" s="1198">
        <f>IF(ISNUMBER(Datos!K23/Datos!J23),Datos!K23/Datos!J23," - ")</f>
        <v>0.91323448654585393</v>
      </c>
      <c r="BH23" s="1202">
        <f>IF(ISNUMBER(((Datos!L23/Datos!K23)*11)/factor_trimestre),((Datos!L23/Datos!K23)*11)/factor_trimestre," - ")</f>
        <v>1.9302465423932653</v>
      </c>
      <c r="BI23" s="1198">
        <f>SUBTOTAL(9,BI16:BI22)</f>
        <v>0.21901094198911913</v>
      </c>
      <c r="BJ23" s="1198">
        <f>SUBTOTAL(9,BJ16:BJ22)</f>
        <v>0</v>
      </c>
      <c r="BK23" s="1198">
        <f>SUBTOTAL(9,BK16:BK22)</f>
        <v>0</v>
      </c>
      <c r="BL23" s="1198">
        <f>IF(ISNUMBER((I23-AB23+L23)/(F23)),(I23-AB23+L23)/(F23)," - ")</f>
        <v>-1.9610849056603774</v>
      </c>
      <c r="BM23" s="1205">
        <f>IF(ISNUMBER((Datos!P23-Datos!Q23)/(Datos!R23-Datos!P23+Datos!Q23)),(Datos!P23-Datos!Q23)/(Datos!R23-Datos!P23+Datos!Q23)," - ")</f>
        <v>-0.13756613756613756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880</v>
      </c>
      <c r="G31" s="1117">
        <f t="shared" si="18"/>
        <v>943</v>
      </c>
      <c r="H31" s="1119">
        <f t="shared" si="18"/>
        <v>0</v>
      </c>
      <c r="I31" s="1117">
        <f t="shared" si="18"/>
        <v>0</v>
      </c>
      <c r="J31" s="1119">
        <f t="shared" si="18"/>
        <v>0</v>
      </c>
      <c r="K31" s="1119">
        <f t="shared" si="18"/>
        <v>0</v>
      </c>
      <c r="L31" s="1180">
        <f t="shared" si="18"/>
        <v>0</v>
      </c>
      <c r="M31" s="1180">
        <f t="shared" si="18"/>
        <v>0</v>
      </c>
      <c r="N31" s="1180">
        <f t="shared" si="18"/>
        <v>413</v>
      </c>
      <c r="O31" s="1180">
        <f t="shared" si="18"/>
        <v>0</v>
      </c>
      <c r="P31" s="1180">
        <f t="shared" si="18"/>
        <v>0</v>
      </c>
      <c r="Q31" s="1119">
        <f t="shared" si="18"/>
        <v>634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1679</v>
      </c>
      <c r="AC31" s="1118">
        <f t="shared" si="19"/>
        <v>650</v>
      </c>
      <c r="AD31" s="1118">
        <f t="shared" si="19"/>
        <v>0</v>
      </c>
      <c r="AE31" s="1118">
        <f t="shared" si="19"/>
        <v>0</v>
      </c>
      <c r="AF31" s="1125">
        <f t="shared" si="19"/>
        <v>1101</v>
      </c>
      <c r="AG31" s="1125">
        <f t="shared" si="19"/>
        <v>0</v>
      </c>
      <c r="AH31" s="1125">
        <f t="shared" si="19"/>
        <v>72</v>
      </c>
      <c r="AI31" s="1125">
        <f t="shared" si="19"/>
        <v>0</v>
      </c>
      <c r="AJ31" s="1118">
        <f t="shared" si="19"/>
        <v>0</v>
      </c>
      <c r="AK31" s="1125">
        <f t="shared" si="19"/>
        <v>0</v>
      </c>
      <c r="AL31" s="1125">
        <f t="shared" si="19"/>
        <v>0</v>
      </c>
      <c r="AM31" s="1125">
        <f t="shared" si="19"/>
        <v>5975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450</v>
      </c>
      <c r="BD31" s="1117">
        <f t="shared" si="19"/>
        <v>2092</v>
      </c>
      <c r="BE31" s="1117">
        <f t="shared" si="19"/>
        <v>0</v>
      </c>
      <c r="BF31" s="1127">
        <f t="shared" si="19"/>
        <v>0</v>
      </c>
      <c r="BG31" s="1223">
        <f>IF(ISNUMBER(Datos!K31/Datos!J31),Datos!K31/Datos!J31," - ")</f>
        <v>0.91413350047007202</v>
      </c>
      <c r="BH31" s="1223">
        <f>IF(ISNUMBER(((Datos!L31/Datos!K31)*11)/factor_trimestre),((Datos!L31/Datos!K31)*11)/factor_trimestre," - ")</f>
        <v>3.9297223174494351</v>
      </c>
      <c r="BI31" s="1103">
        <f>IF(ISNUMBER(Datos!J31/Datos!I31),Datos!J31/Datos!I31," - ")</f>
        <v>0.90039503386004516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-1.9079545454545455</v>
      </c>
      <c r="BM31" s="1188">
        <f>IF(ISNUMBER((Datos!P31-Datos!Q31+R31)/(Datos!R31-Datos!P31+Datos!Q31-R31)),(Datos!P31-Datos!Q31+R31)/(Datos!R31-Datos!P31+Datos!Q31-R31)," - ")</f>
        <v>-2.670672675680187E-3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429.8812239057047</v>
      </c>
      <c r="G33" s="674">
        <f>IF(ISNUMBER(STDEV(G8:G30)),STDEV(G8:G30),"-")</f>
        <v>417.39903255871639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773.90669426525278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119.79864058374906</v>
      </c>
      <c r="BD33" s="673"/>
      <c r="BE33" s="673">
        <f>IF(ISNUMBER(STDEV(BE8:BE30)),STDEV(BE8:BE30),"-")</f>
        <v>0</v>
      </c>
      <c r="BF33" s="678">
        <f>IF(ISNUMBER(STDEV(BF8:BF30)),STDEV(BF8:BF30),"-")</f>
        <v>0</v>
      </c>
      <c r="BG33" s="1052">
        <f>IF(ISNUMBER(STDEV(BG8:BG30)),STDEV(BG8:BG30),"-")</f>
        <v>9.1577867079184E-2</v>
      </c>
      <c r="BH33" s="1058">
        <f>IF(ISNUMBER(STDEV(BH8:BH30)),STDEV(BH8:BH30),"-")</f>
        <v>2.0804861714064473</v>
      </c>
      <c r="BI33" s="273">
        <f>IF(ISNUMBER(STDEV(BI8:BI30)),STDEV(BI8:BI30),"-")</f>
        <v>5.2059540551397408E-2</v>
      </c>
      <c r="BJ33" s="244" t="str">
        <f>IF(ISNUMBER(BL33/BM33),BL33/BM33," - ")</f>
        <v xml:space="preserve"> - </v>
      </c>
      <c r="BK33" s="709"/>
      <c r="BL33" s="681">
        <f>IF(ISNUMBER(STDEV(BL8:BL30)),STDEV(BL8:BL30),"-")</f>
        <v>1.03314304468176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8JeBCAvRnSaY2K8K2u/2SjHr/SGS0ilE87+RgZMtFFSMT3NFQoYg8RLt7cgTIIc6zdKXWTcWO6Z3aPmvR/kKg==" saltValue="9PvXoxMtzgBGlTGpd0AX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BOI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0</v>
      </c>
      <c r="AA10" s="551">
        <f>IF(ISNUMBER(Datos!L10),Datos!L10,"-")</f>
        <v>31</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4</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556</v>
      </c>
      <c r="AA12" s="551" t="str">
        <f>IF(ISNUMBER(IF(J_V="SI",Datos!L12,Datos!L12+Datos!AB12)-IF(Monitorios="SI",Datos!CD12,0)),
                          IF(J_V="SI",Datos!L12,Datos!L12+Datos!AB12)-IF(Monitorios="SI",Datos!CD12,0),
                          " - ")</f>
        <v xml:space="preserve"> - </v>
      </c>
      <c r="AB12" s="549"/>
      <c r="AC12" s="549"/>
      <c r="AD12" s="563"/>
      <c r="AE12" s="563">
        <f>IF(ISNUMBER(Datos!R12),Datos!R12," - ")</f>
        <v>5628</v>
      </c>
      <c r="AF12" s="693" t="str">
        <f>IF(ISNUMBER(Datos!BV12),Datos!BV12," - ")</f>
        <v xml:space="preserve"> - </v>
      </c>
      <c r="AG12" s="552" t="str">
        <f>IF(ISNUMBER(Datos!DV12),Datos!DV12," - ")</f>
        <v xml:space="preserve"> - </v>
      </c>
      <c r="AH12" s="553"/>
      <c r="AI12" s="554"/>
      <c r="AJ12" s="552">
        <f>IF(ISNUMBER(Datos!M12),Datos!M12," - ")</f>
        <v>257</v>
      </c>
      <c r="AK12" s="693">
        <f>IF(ISNUMBER(Datos!N12),Datos!N12," - ")</f>
        <v>857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5.0886998784933173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6.2578222778473091E-3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592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556</v>
      </c>
      <c r="AA14" s="1199">
        <f t="shared" si="3"/>
        <v>31</v>
      </c>
      <c r="AB14" s="1199">
        <f t="shared" si="3"/>
        <v>0</v>
      </c>
      <c r="AC14" s="1199">
        <f t="shared" si="3"/>
        <v>0</v>
      </c>
      <c r="AD14" s="1199">
        <f t="shared" si="3"/>
        <v>0</v>
      </c>
      <c r="AE14" s="1199">
        <f t="shared" si="3"/>
        <v>5649</v>
      </c>
      <c r="AF14" s="1211">
        <f t="shared" si="3"/>
        <v>0</v>
      </c>
      <c r="AG14" s="1211">
        <f t="shared" si="3"/>
        <v>0</v>
      </c>
      <c r="AH14" s="1211">
        <f t="shared" si="3"/>
        <v>0</v>
      </c>
      <c r="AI14" s="1211">
        <f t="shared" si="3"/>
        <v>0</v>
      </c>
      <c r="AJ14" s="1211">
        <f t="shared" si="3"/>
        <v>261</v>
      </c>
      <c r="AK14" s="1211">
        <f t="shared" si="3"/>
        <v>863</v>
      </c>
      <c r="AL14" s="1211">
        <f t="shared" si="3"/>
        <v>0</v>
      </c>
      <c r="AM14" s="1211">
        <f t="shared" si="3"/>
        <v>0</v>
      </c>
      <c r="AN14" s="1211">
        <f t="shared" si="3"/>
        <v>0</v>
      </c>
      <c r="AO14" s="1203">
        <f>IF(ISNUMBER(((NºAsuntos!I14/NºAsuntos!G14)*11)/factor_trimestre),((NºAsuntos!I14/NºAsuntos!G14)*11)/factor_trimestre," - ")</f>
        <v>5.0956678700361007</v>
      </c>
      <c r="AP14" s="1213" t="str">
        <f>IF(ISNUMBER(Datos!CI14/Datos!CJ14),Datos!CI14/Datos!CJ14," - ")</f>
        <v xml:space="preserve"> - </v>
      </c>
      <c r="AQ14" s="1236">
        <f t="shared" ref="AQ14:AV14" si="4">SUBTOTAL(9,AQ9:AQ13)</f>
        <v>0</v>
      </c>
      <c r="AR14" s="1236">
        <f t="shared" si="4"/>
        <v>5.6257822277847314E-2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848</v>
      </c>
      <c r="G17" s="552">
        <f>IF(ISNUMBER(IF(D_I="SI",Datos!I17,Datos!I17+Datos!AC17)),IF(D_I="SI",Datos!I17,Datos!I17+Datos!AC17)," - ")</f>
        <v>847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1558</v>
      </c>
      <c r="Z17" s="805">
        <f>IF(ISNUMBER(Datos!Q17),Datos!Q17," - ")</f>
        <v>94</v>
      </c>
      <c r="AA17" s="551">
        <f>IF(ISNUMBER(IF(D_I="SI",Datos!L17,Datos!L17+Datos!AF17)),IF(D_I="SI",Datos!L17,Datos!L17+Datos!AF17)," - ")</f>
        <v>976</v>
      </c>
      <c r="AB17" s="549"/>
      <c r="AC17" s="549"/>
      <c r="AD17" s="563"/>
      <c r="AE17" s="563">
        <f>IF(ISNUMBER(Datos!R17),Datos!R17," - ")</f>
        <v>325</v>
      </c>
      <c r="AF17" s="693" t="str">
        <f>IF(ISNUMBER(Datos!BV17),Datos!BV17," - ")</f>
        <v xml:space="preserve"> - </v>
      </c>
      <c r="AG17" s="552"/>
      <c r="AH17" s="553"/>
      <c r="AI17" s="554"/>
      <c r="AJ17" s="552">
        <f>IF(ISNUMBER(Datos!M17),Datos!M17," - ")</f>
        <v>178</v>
      </c>
      <c r="AK17" s="693">
        <f>IF(ISNUMBER(Datos!N17),Datos!N17," - ")</f>
        <v>1182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1.8793324775353017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v>
      </c>
      <c r="Z18" s="805">
        <f>IF(ISNUMBER(Datos!Q18),Datos!Q18," - ")</f>
        <v>0</v>
      </c>
      <c r="AA18" s="551">
        <f>IF(ISNUMBER(Datos!L18),Datos!L18,"-")</f>
        <v>94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11</v>
      </c>
      <c r="AK18" s="693">
        <f>IF(ISNUMBER(Datos!N18),Datos!N18," - ")</f>
        <v>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2.6857142857142859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848</v>
      </c>
      <c r="G23" s="1197">
        <f>SUBTOTAL(9,G16:G22)</f>
        <v>911</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1663</v>
      </c>
      <c r="Z23" s="1240">
        <f t="shared" si="6"/>
        <v>94</v>
      </c>
      <c r="AA23" s="1240">
        <f t="shared" si="6"/>
        <v>1070</v>
      </c>
      <c r="AB23" s="1240">
        <f t="shared" si="6"/>
        <v>0</v>
      </c>
      <c r="AC23" s="1240">
        <f t="shared" si="6"/>
        <v>0</v>
      </c>
      <c r="AD23" s="1240">
        <f t="shared" si="6"/>
        <v>0</v>
      </c>
      <c r="AE23" s="1240">
        <f t="shared" si="6"/>
        <v>326</v>
      </c>
      <c r="AF23" s="1240">
        <f t="shared" si="6"/>
        <v>0</v>
      </c>
      <c r="AG23" s="1240">
        <f t="shared" si="6"/>
        <v>0</v>
      </c>
      <c r="AH23" s="1240">
        <f t="shared" si="6"/>
        <v>0</v>
      </c>
      <c r="AI23" s="1240">
        <f t="shared" si="6"/>
        <v>0</v>
      </c>
      <c r="AJ23" s="1240">
        <f t="shared" si="6"/>
        <v>189</v>
      </c>
      <c r="AK23" s="1240">
        <f t="shared" si="6"/>
        <v>1229</v>
      </c>
      <c r="AL23" s="1240">
        <f t="shared" si="6"/>
        <v>0</v>
      </c>
      <c r="AM23" s="1240">
        <f t="shared" si="6"/>
        <v>0</v>
      </c>
      <c r="AN23" s="1240">
        <f t="shared" si="6"/>
        <v>0</v>
      </c>
      <c r="AO23" s="1242">
        <f>IF(ISNUMBER(((NºAsuntos!I23/NºAsuntos!G23)*11)/factor_trimestre),((NºAsuntos!I23/NºAsuntos!G23)*11)/factor_trimestre," - ")</f>
        <v>1.9302465423932653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880</v>
      </c>
      <c r="G31" s="1117">
        <f t="shared" si="12"/>
        <v>943</v>
      </c>
      <c r="H31" s="1118">
        <f t="shared" si="12"/>
        <v>0</v>
      </c>
      <c r="I31" s="1117">
        <f t="shared" si="12"/>
        <v>0</v>
      </c>
      <c r="J31" s="1119">
        <f t="shared" si="12"/>
        <v>0</v>
      </c>
      <c r="K31" s="1117">
        <f t="shared" si="12"/>
        <v>0</v>
      </c>
      <c r="L31" s="1120">
        <f t="shared" si="12"/>
        <v>0</v>
      </c>
      <c r="M31" s="1117">
        <f t="shared" si="12"/>
        <v>0</v>
      </c>
      <c r="N31" s="1118">
        <f t="shared" si="12"/>
        <v>634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1679</v>
      </c>
      <c r="Z31" s="1124">
        <f t="shared" si="13"/>
        <v>650</v>
      </c>
      <c r="AA31" s="1125">
        <f t="shared" si="13"/>
        <v>1101</v>
      </c>
      <c r="AB31" s="1125">
        <f t="shared" si="13"/>
        <v>0</v>
      </c>
      <c r="AC31" s="1125">
        <f t="shared" si="13"/>
        <v>0</v>
      </c>
      <c r="AD31" s="1126">
        <f t="shared" si="13"/>
        <v>0</v>
      </c>
      <c r="AE31" s="1126">
        <f t="shared" si="13"/>
        <v>5975</v>
      </c>
      <c r="AF31" s="1127">
        <f t="shared" si="13"/>
        <v>0</v>
      </c>
      <c r="AG31" s="1128">
        <f t="shared" si="13"/>
        <v>0</v>
      </c>
      <c r="AH31" s="1129">
        <f t="shared" si="13"/>
        <v>0</v>
      </c>
      <c r="AI31" s="1127">
        <f t="shared" si="13"/>
        <v>0</v>
      </c>
      <c r="AJ31" s="1117">
        <f t="shared" si="13"/>
        <v>450</v>
      </c>
      <c r="AK31" s="1117">
        <f t="shared" si="13"/>
        <v>2092</v>
      </c>
      <c r="AL31" s="1117">
        <f t="shared" si="13"/>
        <v>0</v>
      </c>
      <c r="AM31" s="1130">
        <f t="shared" si="13"/>
        <v>0</v>
      </c>
      <c r="AN31" s="1120">
        <f>IF(ISNUMBER(Datos!K31/Datos!J31),Datos!K31/Datos!J31," - ")</f>
        <v>0.91413350047007202</v>
      </c>
      <c r="AO31" s="1120">
        <f>IF(ISNUMBER(FIND("06",Criterios!A8,1)),(IF(ISNUMBER(((Datos!R31/Datos!Q31)*11)/factor_trimestre),((Datos!R31/Datos!Q31)*11)/factor_trimestre," - ")),(IF(ISNUMBER(((Datos!L31/Datos!K31)*11)/factor_trimestre),((Datos!L31/Datos!K31)*11)/factor_trimestre," - ")))</f>
        <v>3.9297223174494351</v>
      </c>
      <c r="AP31" s="1131" t="str">
        <f>IF(ISNUMBER(Datos!CI31/Datos!CJ31),Datos!CI31/Datos!CJ31," - ")</f>
        <v xml:space="preserve"> - </v>
      </c>
      <c r="AQ31" s="1131">
        <f>IF(OR(ISNUMBER(FIND("01",Criterios!A8,1)),ISNUMBER(FIND("02",Criterios!A8,1)),ISNUMBER(FIND("03",Criterios!A8,1)),ISNUMBER(FIND("04",Criterios!A8,1))),(J31-Y31+K31)/(F31-K31),(I31-Y31+K31)/(F31-K31))</f>
        <v>-1.9079545454545455</v>
      </c>
      <c r="AR31" s="1131">
        <f>IF(ISNUMBER((Datos!P31-Datos!Q31+O31)/(Datos!R31-Datos!P31+Datos!Q31-O31)),(Datos!P31-Datos!Q31+O31)/(Datos!R31-Datos!P31+Datos!Q31-O31)," - ")</f>
        <v>-2.670672675680187E-3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429.8812239057047</v>
      </c>
      <c r="G33" s="674">
        <f>IF(ISNUMBER(STDEV(G8:G30)),STDEV(G8:G30),"-")</f>
        <v>417.39903255871639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119.79864058374906</v>
      </c>
      <c r="AK33" s="276"/>
      <c r="AL33" s="276">
        <f>IF(ISNUMBER(STDEV(AL8:AL30)),STDEV(AL8:AL30),"-")</f>
        <v>0</v>
      </c>
      <c r="AM33" s="278">
        <f>IF(ISNUMBER(STDEV(AM8:AM30)),STDEV(AM8:AM30),"-")</f>
        <v>0</v>
      </c>
      <c r="AN33" s="660">
        <f>IF(ISNUMBER(STDEV(AN8:AN30)),STDEV(AN8:AN30),"-")</f>
        <v>0</v>
      </c>
      <c r="AO33" s="661">
        <f>IF(ISNUMBER(STDEV(AO8:AO30)),STDEV(AO8:AO30),"-")</f>
        <v>1.7776635844457231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c+lPctNTDgFltnoY0CBmvRwn8f/v7YXFKR5Ko/AuNWKxs5aD3/j983dnaFkGP+Mh+VRxQRw503sUCisURLnhA==" saltValue="5RPray0bVpK7lT4TRf4b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maoAMr3Thk5Lm7k4/sUwMOTRB8K/Wwhht5wcVevN4FKduPu/AVVUyAEurtn3OSoITSe6nT0RkJhh5mQp2PtA==" saltValue="R2Aot09tmyRbNoRzdgSv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0+j0T/MxWTwhPeD3PB5HwyYbUJg5dmZTu8LSe/Quv5ewmr53yfWsE2mXD77MsGvcIqgFv+HAR83rK7duO6muA==" saltValue="QLcQUBwEweKC2uYSwK5n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BOI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0.15703971119133575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0.11104384469897047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svwgkvNrsUqhNVQ9vTz8OsSxX/FNXXBocgknqYcOYqaz3lkDtHcbNVEj1i/Ho1phFJa/1M+HUHiq0pnNmEkag==" saltValue="281L7m2T/hT2KI1saewu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IooL7zkrLMUnjiIjmWmquZSV/5AGA+TED4otzBcxODgf2JNQhPxRQLSFd4ZiGBMV/GH87xR8fh9zQkLeQ+7bA==" saltValue="8l9RgaE1rWOCw1HNdn6J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BOI DE LLOBREGAT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15</v>
      </c>
      <c r="F10" s="452">
        <f>IF(ISNUMBER(E10/B10),E10/B10," - ")</f>
        <v>15</v>
      </c>
      <c r="G10" s="451">
        <f>IF(ISNUMBER(Datos!K10),Datos!K10," - ")</f>
        <v>16</v>
      </c>
      <c r="H10" s="452">
        <f>IF(ISNUMBER(G10/B10),G10/B10," - ")</f>
        <v>16</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2688</v>
      </c>
      <c r="D12" s="452">
        <f>IF(ISNUMBER(C12/Datos!BH12),C12/Datos!BH12," - ")</f>
        <v>448</v>
      </c>
      <c r="E12" s="451">
        <f>IF(ISNUMBER(IF(J_V="SI",Datos!J12,Datos!J12+Datos!Z12)),IF(J_V="SI",Datos!J12,Datos!J12+Datos!Z12)," - ")</f>
        <v>1768</v>
      </c>
      <c r="F12" s="452">
        <f>IF(ISNUMBER(E12/B12),E12/B12," - ")</f>
        <v>294.66666666666669</v>
      </c>
      <c r="G12" s="451">
        <f>IF(ISNUMBER(IF(J_V="SI",Datos!K12,Datos!K12+Datos!AA12)),IF(J_V="SI",Datos!K12,Datos!K12+Datos!AA12)," - ")</f>
        <v>1646</v>
      </c>
      <c r="H12" s="452">
        <f>IF(ISNUMBER(G12/B12),G12/B12," - ")</f>
        <v>274.33333333333331</v>
      </c>
      <c r="I12" s="451">
        <f>IF(ISNUMBER(IF(J_V="SI",Datos!L12,Datos!L12+Datos!AB12)),IF(J_V="SI",Datos!L12,Datos!L12+Datos!AB12)," - ")</f>
        <v>2792</v>
      </c>
      <c r="J12" s="452">
        <f>IF(ISNUMBER(I12/B12),I12/B12," - ")</f>
        <v>465.33333333333331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2720</v>
      </c>
      <c r="D14" s="1147" t="str">
        <f>IF(ISNUMBER(C14/Datos!BI14),C14/Datos!BI14," - ")</f>
        <v xml:space="preserve"> - </v>
      </c>
      <c r="E14" s="1146">
        <f>SUBTOTAL(9,E8:E13)</f>
        <v>1783</v>
      </c>
      <c r="F14" s="1147">
        <f>IF(ISNUMBER(E14/B14),E14/B14," - ")</f>
        <v>297.16666666666669</v>
      </c>
      <c r="G14" s="1146">
        <f>SUBTOTAL(9,G8:G13)</f>
        <v>1662</v>
      </c>
      <c r="H14" s="1147">
        <f>IF(ISNUMBER(G14/B14),G14/B14," - ")</f>
        <v>277</v>
      </c>
      <c r="I14" s="1146">
        <f>SUBTOTAL(9,I8:I13)</f>
        <v>2823</v>
      </c>
      <c r="J14" s="1147">
        <f>IF(ISNUMBER(I14/B14),I14/B14," - ")</f>
        <v>470.5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847</v>
      </c>
      <c r="D17" s="452">
        <f>IF(ISNUMBER(C17/Datos!BH17),C17/Datos!BH17," - ")</f>
        <v>141.16666666666666</v>
      </c>
      <c r="E17" s="451">
        <f>IF(ISNUMBER(IF(D_I="SI",Datos!J17,Datos!J17+Datos!AD17)),IF(D_I="SI",Datos!J17,Datos!J17+Datos!AD17)," - ")</f>
        <v>1686</v>
      </c>
      <c r="F17" s="452">
        <f>IF(ISNUMBER(E17/B17),E17/B17," - ")</f>
        <v>281</v>
      </c>
      <c r="G17" s="451">
        <f>IF(ISNUMBER(IF(D_I="SI",Datos!K17,Datos!K17+Datos!AE17)),IF(D_I="SI",Datos!K17,Datos!K17+Datos!AE17)," - ")</f>
        <v>1558</v>
      </c>
      <c r="H17" s="452">
        <f>IF(ISNUMBER(G17/B17),G17/B17," - ")</f>
        <v>259.66666666666669</v>
      </c>
      <c r="I17" s="451">
        <f>IF(ISNUMBER(IF(D_I="SI",Datos!L17,Datos!L17+Datos!AF17)),IF(D_I="SI",Datos!L17,Datos!L17+Datos!AF17)," - ")</f>
        <v>976</v>
      </c>
      <c r="J17" s="452">
        <f>IF(ISNUMBER(I17/B17),I17/B17," - ")</f>
        <v>162.66666666666666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135</v>
      </c>
      <c r="F18" s="452">
        <f>IF(ISNUMBER(E18/B18),E18/B18," - ")</f>
        <v>135</v>
      </c>
      <c r="G18" s="451">
        <f>IF(ISNUMBER(IF(D_I="SI",Datos!K18,Datos!K18+Datos!AE18)),IF(D_I="SI",Datos!K18,Datos!K18+Datos!AE18)," - ")</f>
        <v>105</v>
      </c>
      <c r="H18" s="452">
        <f>IF(ISNUMBER(G18/B18),G18/B18," - ")</f>
        <v>105</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911</v>
      </c>
      <c r="D23" s="1147" t="str">
        <f>IF(ISNUMBER(C23/Datos!BI23),C23/Datos!BI23," - ")</f>
        <v xml:space="preserve"> - </v>
      </c>
      <c r="E23" s="1146">
        <f>SUBTOTAL(9,E15:E22)</f>
        <v>1821</v>
      </c>
      <c r="F23" s="1147">
        <f>IF(ISNUMBER(E23/B23),E23/B23," - ")</f>
        <v>303.5</v>
      </c>
      <c r="G23" s="1146">
        <f>SUBTOTAL(9,G15:G22)</f>
        <v>1663</v>
      </c>
      <c r="H23" s="1147">
        <f>IF(ISNUMBER(G23/B23),G23/B23," - ")</f>
        <v>277.16666666666669</v>
      </c>
      <c r="I23" s="1146">
        <f>SUBTOTAL(9,I15:I22)</f>
        <v>1070</v>
      </c>
      <c r="J23" s="1147">
        <f>IF(ISNUMBER(I23/B23),I23/B23," - ")</f>
        <v>178.33333333333334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3631</v>
      </c>
      <c r="D31" s="1085" t="str">
        <f>IF(ISNUMBER(C31/Datos!BI31),C31/Datos!BI31," - ")</f>
        <v xml:space="preserve"> - </v>
      </c>
      <c r="E31" s="1084">
        <f>SUBTOTAL(9,E9:E30)</f>
        <v>3604</v>
      </c>
      <c r="F31" s="1085">
        <f>IF(ISNUMBER(E31/B31),E31/B31," - ")</f>
        <v>600.66666666666663</v>
      </c>
      <c r="G31" s="1084">
        <f>SUBTOTAL(9,G9:G30)</f>
        <v>3325</v>
      </c>
      <c r="H31" s="1085">
        <f>IF(ISNUMBER(G31/B31),G31/B31," - ")</f>
        <v>554.16666666666663</v>
      </c>
      <c r="I31" s="1084">
        <f>SUBTOTAL(9,I9:I30)</f>
        <v>3893</v>
      </c>
      <c r="J31" s="1085">
        <f>IF(ISNUMBER(I31/B31),I31/B31," - ")</f>
        <v>648.83333333333337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TQmul5x/W0TTfLw6Q25L8vvoZhIDzQpx7KQwp6ZnHQxMjtPvX9SuChxY/76CUF5t0Igqy6oYpA6PhmdV/SmNA==" saltValue="1R6+lUZREL1dHQ4P+9IN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BOI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5.8125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257</v>
      </c>
      <c r="AM12" s="914">
        <f>IF(ISNUMBER(Datos!N12+DatosP!N17),Datos!N12+DatosP!N17," - ")</f>
        <v>857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5.0886998784933173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6.2578222778473091E-3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592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556</v>
      </c>
      <c r="AE14" s="1257">
        <f t="shared" si="1"/>
        <v>0</v>
      </c>
      <c r="AF14" s="1257">
        <f t="shared" si="1"/>
        <v>31</v>
      </c>
      <c r="AG14" s="1257">
        <f t="shared" si="1"/>
        <v>0</v>
      </c>
      <c r="AH14" s="1257">
        <f t="shared" si="1"/>
        <v>5628</v>
      </c>
      <c r="AI14" s="1257">
        <f t="shared" si="1"/>
        <v>0</v>
      </c>
      <c r="AJ14" s="1257">
        <f t="shared" si="1"/>
        <v>0</v>
      </c>
      <c r="AK14" s="1257">
        <f t="shared" si="1"/>
        <v>0</v>
      </c>
      <c r="AL14" s="1257">
        <f t="shared" si="1"/>
        <v>261</v>
      </c>
      <c r="AM14" s="1257">
        <f t="shared" si="1"/>
        <v>863</v>
      </c>
      <c r="AN14" s="1257">
        <f t="shared" si="1"/>
        <v>0</v>
      </c>
      <c r="AO14" s="1257">
        <f t="shared" si="1"/>
        <v>0</v>
      </c>
      <c r="AP14" s="1262">
        <f>IF(ISNUMBER(((Datos!L14/Datos!K14)*11)/factor_trimestre),((Datos!L14/Datos!K14)*11)/factor_trimestre," - ")</f>
        <v>6.5813397129186617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6.2578222778473091E-3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1.9302465423932653</v>
      </c>
      <c r="AQ23" s="1262">
        <f>IF(ISNUMBER(((Datos!M23/Datos!L23)*11)/factor_trimestre),((Datos!M23/Datos!L23)*11)/factor_trimestre," - ")</f>
        <v>0.52990654205607479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-0.13756613756613756</v>
      </c>
      <c r="AW23" s="1265">
        <f>IF(ISNUMBER((Datos!Q23-Datos!R23)/(Datos!S23-Datos!Q23+Datos!R23)),(Datos!Q23-Datos!R23)/(Datos!S23-Datos!Q23+Datos!R23)," - ")</f>
        <v>-0.22745098039215686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592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556</v>
      </c>
      <c r="AE31" s="1284">
        <f t="shared" si="9"/>
        <v>0</v>
      </c>
      <c r="AF31" s="1285">
        <f t="shared" si="9"/>
        <v>31</v>
      </c>
      <c r="AG31" s="1285">
        <f t="shared" si="9"/>
        <v>0</v>
      </c>
      <c r="AH31" s="1285">
        <f t="shared" si="9"/>
        <v>5628</v>
      </c>
      <c r="AI31" s="1285">
        <f t="shared" si="9"/>
        <v>0</v>
      </c>
      <c r="AJ31" s="1286">
        <f t="shared" si="9"/>
        <v>0</v>
      </c>
      <c r="AK31" s="1286">
        <f t="shared" si="9"/>
        <v>0</v>
      </c>
      <c r="AL31" s="1278">
        <f t="shared" si="9"/>
        <v>261</v>
      </c>
      <c r="AM31" s="1278">
        <f t="shared" si="9"/>
        <v>863</v>
      </c>
      <c r="AN31" s="1278">
        <f t="shared" si="9"/>
        <v>0</v>
      </c>
      <c r="AO31" s="1278">
        <f t="shared" si="9"/>
        <v>0</v>
      </c>
      <c r="AP31" s="1278">
        <f>IF(ISNUMBER(((Datos!L31/Datos!K31)*11)/factor_trimestre),((Datos!L31/Datos!K31)*11)/factor_trimestre," - ")</f>
        <v>3.9297223174494351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-2.670672675680187E-3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133.24563782728498</v>
      </c>
      <c r="AM33" s="1006"/>
      <c r="AN33" s="1006">
        <f>IF(ISNUMBER(STDEV(AN8:AN30)),STDEV(AN8:AN30),"-")</f>
        <v>0</v>
      </c>
      <c r="AO33" s="1012">
        <f>IF(ISNUMBER(STDEV(AO8:AO30)),STDEV(AO8:AO30),"-")</f>
        <v>0</v>
      </c>
      <c r="AP33" s="1065">
        <f>IF(ISNUMBER(STDEV(AP8:AP30)),STDEV(AP8:AP30),"-")</f>
        <v>2.0417182686342112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UyPF9f6Bop21fQ8swcQ3q4ns1vFufQOqS1+CIBq75dj+ALa1UKYdvySXwyQftTvF6jH0Brg6ifZaiuQxbU5A==" saltValue="hnbRJQdUeq15lfpXqjtf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BOI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sU0ezY1Nye3NXmBf4WTZ5sQoFTv/fHkSbYE0e/QJxb8UBIKzfEiiqrlbT5Rcwnr/rEGtQ5ULu3z109UqWLzew==" saltValue="EkzRcGmIRvoDxOZRyAMb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BOI DE LLOBREGAT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257</v>
      </c>
      <c r="E12" s="452">
        <f t="shared" si="0"/>
        <v>42.833333333333336</v>
      </c>
      <c r="F12" s="451">
        <f>IF(ISNUMBER(Datos!N12),Datos!N12," - ")</f>
        <v>857</v>
      </c>
      <c r="G12" s="452">
        <f t="shared" si="1"/>
        <v>142.83333333333334</v>
      </c>
      <c r="H12" s="451">
        <f>IF(ISNUMBER(Datos!O12),Datos!O12," - ")</f>
        <v>511</v>
      </c>
      <c r="I12" s="452">
        <f t="shared" si="2"/>
        <v>85.166666666666671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261</v>
      </c>
      <c r="E14" s="1147">
        <f t="shared" si="0"/>
        <v>37.285714285714285</v>
      </c>
      <c r="F14" s="1146">
        <f>SUBTOTAL(9,F9:F13)</f>
        <v>863</v>
      </c>
      <c r="G14" s="1147">
        <f t="shared" si="1"/>
        <v>123.28571428571429</v>
      </c>
      <c r="H14" s="1146">
        <f>SUBTOTAL(9,H9:H13)</f>
        <v>511</v>
      </c>
      <c r="I14" s="1147">
        <f>IF(ISNUMBER(H14/B14),H14/B14," - ")</f>
        <v>73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178</v>
      </c>
      <c r="E17" s="452">
        <f t="shared" si="3"/>
        <v>29.666666666666668</v>
      </c>
      <c r="F17" s="451">
        <f>IF(ISNUMBER(Datos!N17),Datos!N17," - ")</f>
        <v>1182</v>
      </c>
      <c r="G17" s="452">
        <f t="shared" si="4"/>
        <v>197</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47</v>
      </c>
      <c r="G18" s="452">
        <f>IF(ISNUMBER(F18/B18),F18/B18," - ")</f>
        <v>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189</v>
      </c>
      <c r="E23" s="1147">
        <f t="shared" si="3"/>
        <v>27</v>
      </c>
      <c r="F23" s="1146">
        <f>SUBTOTAL(9,F16:F22)</f>
        <v>1229</v>
      </c>
      <c r="G23" s="1147">
        <f t="shared" si="4"/>
        <v>175.57142857142858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450</v>
      </c>
      <c r="E31" s="1085">
        <f>IF(ISNUMBER(D31/B31),D31/B31," - ")</f>
        <v>75</v>
      </c>
      <c r="F31" s="1084">
        <f>SUBTOTAL(9,F8:F30)</f>
        <v>2092</v>
      </c>
      <c r="G31" s="1085">
        <f>IF(ISNUMBER(F31/B31),F31/B31," - ")</f>
        <v>348.66666666666669</v>
      </c>
      <c r="H31" s="1084">
        <f>SUBTOTAL(9,H8:H30)</f>
        <v>511</v>
      </c>
      <c r="I31" s="1085">
        <f>IF(ISNUMBER(H31/B31),H31/B31," - ")</f>
        <v>85.166666666666671</v>
      </c>
    </row>
    <row r="34" spans="1:1">
      <c r="A34" s="439" t="str">
        <f>Criterios!A4</f>
        <v>Fecha Informe: 05 may. 2023</v>
      </c>
    </row>
    <row r="39" spans="1:1">
      <c r="A39" s="462"/>
    </row>
  </sheetData>
  <sheetProtection algorithmName="SHA-512" hashValue="AtU3zOzSp/gTKwjotHwIfptxMgpMcLb8OrpXTlk7oATpenfwVadIzagT26AICTiUmRTcXDbAfT9j1OWHffI1+w==" saltValue="HI/5/NSDI4wx/mNmtP+U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BOI DE LLOBREGAT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591</v>
      </c>
      <c r="C12" s="489">
        <f>IF(ISNUMBER(Datos!Q12),Datos!Q12," - ")</f>
        <v>556</v>
      </c>
      <c r="D12" s="456">
        <f>IF(ISNUMBER(Datos!R12),Datos!R12," - ")</f>
        <v>5628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592</v>
      </c>
      <c r="C14" s="1150">
        <f>SUBTOTAL(9,C9:C13)</f>
        <v>556</v>
      </c>
      <c r="D14" s="1148">
        <f>SUBTOTAL(9,D9:D13)</f>
        <v>5649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94</v>
      </c>
      <c r="D17" s="456">
        <f>IF(ISNUMBER(Datos!R17),Datos!R17," - ")</f>
        <v>325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94</v>
      </c>
      <c r="D23" s="1148">
        <f>SUBTOTAL(9,D16:D22)</f>
        <v>326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634</v>
      </c>
      <c r="C31" s="1089">
        <f>SUBTOTAL(9,C8:C30)</f>
        <v>650</v>
      </c>
      <c r="D31" s="1090">
        <f>SUBTOTAL(9,D8:D30)</f>
        <v>5975</v>
      </c>
    </row>
    <row r="32" spans="1:4" ht="7.5" customHeight="1"/>
    <row r="33" spans="1:1" ht="6" customHeight="1"/>
    <row r="34" spans="1:1">
      <c r="A34" s="439" t="str">
        <f>Criterios!A4</f>
        <v>Fecha Informe: 05 may. 2023</v>
      </c>
    </row>
    <row r="39" spans="1:1">
      <c r="A39" s="462"/>
    </row>
  </sheetData>
  <sheetProtection algorithmName="SHA-512" hashValue="p6HzbYMGt8WKy+k9IASAQgQsvdJQJ/Tbpgtx4cVQGeJjMoGKFveSVgFQbcVhHCkvc5Kcl5RfMHK7mEIsqEqQKg==" saltValue="kriO+4BmTgpUD94qLU0+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BOI DE LLOBREGAT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3.2258064516129031E-2</v>
      </c>
      <c r="C10" s="515">
        <f>IF(ISNUMBER((Datos!J10-Datos!T10)/Datos!T10),(Datos!J10-Datos!T10)/Datos!T10," - ")</f>
        <v>0.66666666666666663</v>
      </c>
      <c r="D10" s="515">
        <f>IF(ISNUMBER((Datos!K10-Datos!U10)/Datos!U10),(Datos!K10-Datos!U10)/Datos!U10," - ")</f>
        <v>1.6666666666666667</v>
      </c>
      <c r="E10" s="515">
        <f>IF(ISNUMBER((Datos!L10-Datos!V10)/Datos!V10),(Datos!L10-Datos!V10)/Datos!V10," - ")</f>
        <v>-8.8235294117647065E-2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0.60000000000000009</v>
      </c>
      <c r="I10" s="515">
        <f>IF(ISNUMBER(((NºAsuntos!I10/NºAsuntos!G10)-Datos!BE10)/Datos!BE10),((NºAsuntos!I10/NºAsuntos!G10)-Datos!BE10)/Datos!BE10," - ")</f>
        <v>-0.65808823529411764</v>
      </c>
      <c r="J10" s="521">
        <f>IF(ISNUMBER((('Resol  Asuntos'!D10/NºAsuntos!G10)-Datos!BF10)/Datos!BF10),(('Resol  Asuntos'!D10/NºAsuntos!G10)-Datos!BF10)/Datos!BF10," - ")</f>
        <v>-0.75</v>
      </c>
      <c r="K10" s="522">
        <f>IF(ISNUMBER((((NºAsuntos!C10+NºAsuntos!E10)/NºAsuntos!G10)-Datos!BG10)/Datos!BG10),(((NºAsuntos!C10+NºAsuntos!E10)/NºAsuntos!G10)-Datos!BG10)/Datos!BG10," - ")</f>
        <v>-0.55937500000000007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7.0489844683393074E-2</v>
      </c>
      <c r="C12" s="515">
        <f>IF(ISNUMBER(
   IF(J_V="SI",(Datos!J12-Datos!T12)/Datos!T12,(Datos!J12+Datos!Z12-(Datos!T12+Datos!AH12))/(Datos!T12+Datos!AH12))
     ),IF(J_V="SI",(Datos!J12-Datos!T12)/Datos!T12,(Datos!J12+Datos!Z12-(Datos!T12+Datos!AH12))/(Datos!T12+Datos!AH12))," - ")</f>
        <v>0.10293200249532128</v>
      </c>
      <c r="D12" s="515">
        <f>IF(ISNUMBER(
   IF(J_V="SI",(Datos!K12-Datos!U12)/Datos!U12,(Datos!K12+Datos!AA12-(Datos!U12+Datos!AI12))/(Datos!U12+Datos!AI12))
     ),IF(J_V="SI",(Datos!K12-Datos!U12)/Datos!U12,(Datos!K12+Datos!AA12-(Datos!U12+Datos!AI12))/(Datos!U12+Datos!AI12))," - ")</f>
        <v>8.1471747700394212E-2</v>
      </c>
      <c r="E12" s="515">
        <f>IF(ISNUMBER(
   IF(J_V="SI",(Datos!L12-Datos!V12)/Datos!V12,(Datos!L12+Datos!AB12-(Datos!V12+Datos!AJ12))/(Datos!V12+Datos!AJ12))
     ),IF(J_V="SI",(Datos!L12-Datos!V12)/Datos!V12,(Datos!L12+Datos!AB12-(Datos!V12+Datos!AJ12))/(Datos!V12+Datos!AJ12))," - ")</f>
        <v>7.7576225395600149E-2</v>
      </c>
      <c r="F12" s="515">
        <f>IF(ISNUMBER((Datos!M12-Datos!W12)/Datos!W12),(Datos!M12-Datos!W12)/Datos!W12," - ")</f>
        <v>-0.26361031518624639</v>
      </c>
      <c r="G12" s="516">
        <f>IF(ISNUMBER((Datos!N12-Datos!X12)/Datos!X12),(Datos!N12-Datos!X12)/Datos!X12," - ")</f>
        <v>3.7530266343825669E-2</v>
      </c>
      <c r="H12" s="514">
        <f>IF(ISNUMBER(((NºAsuntos!G12/NºAsuntos!E12)-Datos!BD12)/Datos!BD12),((NºAsuntos!G12/NºAsuntos!E12)-Datos!BD12)/Datos!BD12," - ")</f>
        <v>-1.945745952277601E-2</v>
      </c>
      <c r="I12" s="515">
        <f>IF(ISNUMBER(((NºAsuntos!I12/NºAsuntos!G12)-Datos!BE12)/Datos!BE12),((NºAsuntos!I12/NºAsuntos!G12)-Datos!BE12)/Datos!BE12," - ")</f>
        <v>-3.6020564689529743E-3</v>
      </c>
      <c r="J12" s="521">
        <f>IF(ISNUMBER((('Resol  Asuntos'!D12/NºAsuntos!G12)-Datos!BF12)/Datos!BF12),(('Resol  Asuntos'!D12/NºAsuntos!G12)-Datos!BF12)/Datos!BF12," - ")</f>
        <v>-0.71230130126890634</v>
      </c>
      <c r="K12" s="522">
        <f>IF(ISNUMBER((((NºAsuntos!C12+NºAsuntos!E12)/NºAsuntos!G12)-Datos!BG12)/Datos!BG12),(((NºAsuntos!C12+NºAsuntos!E12)/NºAsuntos!G12)-Datos!BG12)/Datos!BG12," - ")</f>
        <v>1.5340440223970268E-3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7.0023603461841069E-2</v>
      </c>
      <c r="C14" s="1152">
        <f>IF(ISNUMBER(
   IF(J_V="SI",(Datos!J14-Datos!T14)/Datos!T14,(Datos!J14+Datos!Z14-(Datos!T14+Datos!AH14))/(Datos!T14+Datos!AH14))
     ),IF(J_V="SI",(Datos!J14-Datos!T14)/Datos!T14,(Datos!J14+Datos!Z14-(Datos!T14+Datos!AH14))/(Datos!T14+Datos!AH14))," - ")</f>
        <v>0.10607940446650124</v>
      </c>
      <c r="D14" s="1152">
        <f>IF(ISNUMBER(
   IF(J_V="SI",(Datos!K14-Datos!U14)/Datos!U14,(Datos!K14+Datos!AA14-(Datos!U14+Datos!AI14))/(Datos!U14+Datos!AI14))
     ),IF(J_V="SI",(Datos!K14-Datos!U14)/Datos!U14,(Datos!K14+Datos!AA14-(Datos!U14+Datos!AI14))/(Datos!U14+Datos!AI14))," - ")</f>
        <v>8.7696335078534027E-2</v>
      </c>
      <c r="E14" s="1152">
        <f>IF(ISNUMBER(
   IF(J_V="SI",(Datos!L14-Datos!V14)/Datos!V14,(Datos!L14+Datos!AB14-(Datos!V14+Datos!AJ14))/(Datos!V14+Datos!AJ14))
     ),IF(J_V="SI",(Datos!L14-Datos!V14)/Datos!V14,(Datos!L14+Datos!AB14-(Datos!V14+Datos!AJ14))/(Datos!V14+Datos!AJ14))," - ")</f>
        <v>7.5428571428571428E-2</v>
      </c>
      <c r="F14" s="1153">
        <f>IF(ISNUMBER((Datos!M14-Datos!W14)/Datos!W14),(Datos!M14-Datos!W14)/Datos!W14," - ")</f>
        <v>-0.26478873239436618</v>
      </c>
      <c r="G14" s="1154">
        <f>IF(ISNUMBER((Datos!N14-Datos!X14)/Datos!X14),(Datos!N14-Datos!X14)/Datos!X14," - ")</f>
        <v>4.4794188861985475E-2</v>
      </c>
      <c r="H14" s="1154">
        <f>IF(ISNUMBER(((NºAsuntos!G14/NºAsuntos!E14)-Datos!BD14)/Datos!BD14),((NºAsuntos!G14/NºAsuntos!E14)-Datos!BD14)/Datos!BD14," - ")</f>
        <v>-1.6620026838700501E-2</v>
      </c>
      <c r="I14" s="1154">
        <f>IF(ISNUMBER(((NºAsuntos!I14/NºAsuntos!G14)-Datos!BE14)/Datos!BE14),((NºAsuntos!I14/NºAsuntos!G14)-Datos!BE14)/Datos!BE14," - ")</f>
        <v>-1.1278665979026997E-2</v>
      </c>
      <c r="J14" s="1154">
        <f>IF(ISNUMBER((('Resol  Asuntos'!D14/NºAsuntos!G14)-Datos!BF14)/Datos!BF14),(('Resol  Asuntos'!D14/NºAsuntos!G14)-Datos!BF14)/Datos!BF14," - ")</f>
        <v>-0.71159053040821996</v>
      </c>
      <c r="K14" s="1154">
        <f>IF(ISNUMBER((((NºAsuntos!C14+NºAsuntos!E14)/NºAsuntos!G14)-Datos!BG14)/Datos!BG14),(((NºAsuntos!C14+NºAsuntos!E14)/NºAsuntos!G14)-Datos!BG14)/Datos!BG14," - ")</f>
        <v>-3.384150633811259E-3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0.15081521739130435</v>
      </c>
      <c r="C17" s="515">
        <f>IF(ISNUMBER(
   IF(D_I="SI",(Datos!J17-Datos!T17)/Datos!T17,(Datos!J17+Datos!AD17-(Datos!T17+Datos!AL17))/(Datos!T17+Datos!AL17))
     ),IF(D_I="SI",(Datos!J17-Datos!T17)/Datos!T17,(Datos!J17+Datos!AD17-(Datos!T17+Datos!AL17))/(Datos!T17+Datos!AL17))," - ")</f>
        <v>0.26576576576576577</v>
      </c>
      <c r="D17" s="515">
        <f>IF(ISNUMBER(
   IF(D_I="SI",(Datos!K17-Datos!U17)/Datos!U17,(Datos!K17+Datos!AE17-(Datos!U17+Datos!AM17))/(Datos!U17+Datos!AM17))
     ),IF(D_I="SI",(Datos!K17-Datos!U17)/Datos!U17,(Datos!K17+Datos!AE17-(Datos!U17+Datos!AM17))/(Datos!U17+Datos!AM17))," - ")</f>
        <v>0.22677165354330708</v>
      </c>
      <c r="E17" s="515">
        <f>IF(ISNUMBER(
   IF(D_I="SI",(Datos!L17-Datos!V17)/Datos!V17,(Datos!L17+Datos!AF17-(Datos!V17+Datos!AN17))/(Datos!V17+Datos!AN17))
     ),IF(D_I="SI",(Datos!L17-Datos!V17)/Datos!V17,(Datos!L17+Datos!AF17-(Datos!V17+Datos!AN17))/(Datos!V17+Datos!AN17))," - ")</f>
        <v>0.22152690863579474</v>
      </c>
      <c r="F17" s="515">
        <f>IF(ISNUMBER((Datos!M17-Datos!W17)/Datos!W17),(Datos!M17-Datos!W17)/Datos!W17," - ")</f>
        <v>8.5365853658536592E-2</v>
      </c>
      <c r="G17" s="516">
        <f>IF(ISNUMBER((Datos!N17-Datos!X17)/Datos!X17),(Datos!N17-Datos!X17)/Datos!X17," - ")</f>
        <v>0.28338762214983715</v>
      </c>
      <c r="H17" s="514">
        <f>IF(ISNUMBER(((NºAsuntos!G17/NºAsuntos!E17)-Datos!BD17)/Datos!BD17),((NºAsuntos!G17/NºAsuntos!E17)-Datos!BD17)/Datos!BD17," - ")</f>
        <v>-3.0806736346568751E-2</v>
      </c>
      <c r="I17" s="515">
        <f>IF(ISNUMBER(((NºAsuntos!I17/NºAsuntos!G17)-Datos!BE17)/Datos!BE17),((NºAsuntos!I17/NºAsuntos!G17)-Datos!BE17)/Datos!BE17," - ")</f>
        <v>-4.275241355931084E-3</v>
      </c>
      <c r="J17" s="521">
        <f>IF(ISNUMBER((('Resol  Asuntos'!D17/NºAsuntos!G17)-Datos!BF17)/Datos!BF17),(('Resol  Asuntos'!D17/NºAsuntos!G17)-Datos!BF17)/Datos!BF17," - ")</f>
        <v>-0.11526660195998616</v>
      </c>
      <c r="K17" s="522">
        <f>IF(ISNUMBER((((NºAsuntos!C17+NºAsuntos!E17)/NºAsuntos!G17)-Datos!BG17)/Datos!BG17),(((NºAsuntos!C17+NºAsuntos!E17)/NºAsuntos!G17)-Datos!BG17)/Datos!BG17," - ")</f>
        <v>-1.5624107681573259E-3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0.23076923076923078</v>
      </c>
      <c r="C18" s="515">
        <f>IF(ISNUMBER(
   IF(D_I="SI",(Datos!J18-Datos!T18)/Datos!T18,(Datos!J18+Datos!AD18-(Datos!T18+Datos!AL18))/(Datos!T18+Datos!AL18))
     ),IF(D_I="SI",(Datos!J18-Datos!T18)/Datos!T18,(Datos!J18+Datos!AD18-(Datos!T18+Datos!AL18))/(Datos!T18+Datos!AL18))," - ")</f>
        <v>0.33663366336633666</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0.5161290322580645</v>
      </c>
      <c r="F18" s="515">
        <f>IF(ISNUMBER((Datos!M18-Datos!W18)/Datos!W18),(Datos!M18-Datos!W18)/Datos!W18," - ")</f>
        <v>2.6666666666666665</v>
      </c>
      <c r="G18" s="516">
        <f>IF(ISNUMBER((Datos!N18-Datos!X18)/Datos!X18),(Datos!N18-Datos!X18)/Datos!X18," - ")</f>
        <v>-0.12962962962962962</v>
      </c>
      <c r="H18" s="514">
        <f>IF(ISNUMBER(((NºAsuntos!G18/NºAsuntos!E18)-Datos!BD18)/Datos!BD18),((NºAsuntos!G18/NºAsuntos!E18)-Datos!BD18)/Datos!BD18," - ")</f>
        <v>-0.13675213675213677</v>
      </c>
      <c r="I18" s="515">
        <f>IF(ISNUMBER(((NºAsuntos!I18/NºAsuntos!G18)-Datos!BE18)/Datos!BE18),((NºAsuntos!I18/NºAsuntos!G18)-Datos!BE18)/Datos!BE18," - ")</f>
        <v>0.3139784946236559</v>
      </c>
      <c r="J18" s="521">
        <f>IF(ISNUMBER((('Resol  Asuntos'!D18/NºAsuntos!G18)-Datos!BF18)/Datos!BF18),(('Resol  Asuntos'!D18/NºAsuntos!G18)-Datos!BF18)/Datos!BF18," - ")</f>
        <v>2.1777777777777776</v>
      </c>
      <c r="K18" s="522">
        <f>IF(ISNUMBER((((NºAsuntos!C18+NºAsuntos!E18)/NºAsuntos!G18)-Datos!BG18)/Datos!BG18),(((NºAsuntos!C18+NºAsuntos!E18)/NºAsuntos!G18)-Datos!BG18)/Datos!BG18," - ")</f>
        <v>0.12723311546840954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0.15609137055837563</v>
      </c>
      <c r="C23" s="1152">
        <f>IF(ISNUMBER(
   IF(Criterios!B14="SI",(Datos!J23-Datos!T23)/Datos!T23,(Datos!J23+Datos!AD23-(Datos!T23+Datos!AL23))/(Datos!T23+Datos!AL23))
     ),IF(Criterios!B14="SI",(Datos!J23-Datos!T23)/Datos!T23,(Datos!J23+Datos!AD23-(Datos!T23+Datos!AL23))/(Datos!T23+Datos!AL23))," - ")</f>
        <v>0.27076064200976974</v>
      </c>
      <c r="D23" s="1152">
        <f>IF(ISNUMBER(
   IF(Criterios!B14="SI",(Datos!K23-Datos!U23)/Datos!U23,(Datos!K23+Datos!AE23-(Datos!U23+Datos!AM23))/(Datos!U23+Datos!AM23))
     ),IF(Criterios!B14="SI",(Datos!K23-Datos!U23)/Datos!U23,(Datos!K23+Datos!AE23-(Datos!U23+Datos!AM23))/(Datos!U23+Datos!AM23))," - ")</f>
        <v>0.221895664952241</v>
      </c>
      <c r="E23" s="1152">
        <f>IF(ISNUMBER(
   IF(Criterios!B14="SI",(Datos!L23-Datos!V23)/Datos!V23,(Datos!L23+Datos!AF23-(Datos!V23+Datos!AN23))/(Datos!V23+Datos!AN23))
     ),IF(Criterios!B14="SI",(Datos!L23-Datos!V23)/Datos!V23,(Datos!L23+Datos!AF23-(Datos!V23+Datos!AN23))/(Datos!V23+Datos!AN23))," - ")</f>
        <v>0.24274099883855982</v>
      </c>
      <c r="F23" s="1153">
        <f>IF(ISNUMBER((Datos!M23-Datos!W23)/Datos!W23),(Datos!M23-Datos!W23)/Datos!W23," - ")</f>
        <v>0.1317365269461078</v>
      </c>
      <c r="G23" s="1154">
        <f>IF(ISNUMBER((Datos!N23-Datos!X23)/Datos!X23),(Datos!N23-Datos!X23)/Datos!X23," - ")</f>
        <v>0.26051282051282049</v>
      </c>
      <c r="H23" s="1154">
        <f>IF(ISNUMBER(((NºAsuntos!G23/NºAsuntos!E23)-Datos!BD23)/Datos!BD23),((NºAsuntos!G23/NºAsuntos!E23)-Datos!BD23)/Datos!BD23," - ")</f>
        <v>-3.8453329007928957E-2</v>
      </c>
      <c r="I23" s="1154">
        <f>IF(ISNUMBER(((NºAsuntos!I23/NºAsuntos!G23)-Datos!BE23)/Datos!BE23),((NºAsuntos!I23/NºAsuntos!G23)-Datos!BE23)/Datos!BE23," - ")</f>
        <v>1.7059831280384883E-2</v>
      </c>
      <c r="J23" s="1154">
        <f>IF(ISNUMBER((('Resol  Asuntos'!D23/NºAsuntos!G23)-Datos!BF23)/Datos!BF23),(('Resol  Asuntos'!D23/NºAsuntos!G23)-Datos!BF23)/Datos!BF23," - ")</f>
        <v>-7.3786281916023669E-2</v>
      </c>
      <c r="K23" s="1154">
        <f>IF(ISNUMBER((((NºAsuntos!C23+NºAsuntos!E23)/NºAsuntos!G23)-Datos!BG23)/Datos!BG23),(((NºAsuntos!C23+NºAsuntos!E23)/NºAsuntos!G23)-Datos!BG23)/Datos!BG23," - ")</f>
        <v>6.6952337916942415E-3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9.0390390390390388E-2</v>
      </c>
      <c r="C31" s="1092">
        <f>IF(ISNUMBER(
   IF(J_V="SI",(Datos!J31-Datos!T31)/Datos!T31,(Datos!J31+Datos!Z31-(Datos!T31+Datos!AH31))/(Datos!T31+Datos!AH31))
     ),IF(J_V="SI",(Datos!J31-Datos!T31)/Datos!T31,(Datos!J31+Datos!Z31-(Datos!T31+Datos!AH31))/(Datos!T31+Datos!AH31))," - ")</f>
        <v>0.18357963875205255</v>
      </c>
      <c r="D31" s="1092">
        <f>IF(ISNUMBER(
   IF(J_V="SI",(Datos!K31-Datos!U31)/Datos!U31,(Datos!K31+Datos!AA31-(Datos!U31+Datos!AI31))/(Datos!U31+Datos!AI31))
     ),IF(J_V="SI",(Datos!K31-Datos!U31)/Datos!U31,(Datos!K31+Datos!AA31-(Datos!U31+Datos!AI31))/(Datos!U31+Datos!AI31))," - ")</f>
        <v>0.15091727241259953</v>
      </c>
      <c r="E31" s="1092">
        <f>IF(ISNUMBER(
   IF(J_V="SI",(Datos!L31-Datos!V31)/Datos!V31,(Datos!L31+Datos!AB31-(Datos!V31+Datos!AJ31))/(Datos!V31+Datos!AJ31))
     ),IF(J_V="SI",(Datos!L31-Datos!V31)/Datos!V31,(Datos!L31+Datos!AB31-(Datos!V31+Datos!AJ31))/(Datos!V31+Datos!AJ31))," - ")</f>
        <v>0.11675272518646013</v>
      </c>
      <c r="F31" s="1093">
        <f>IF(ISNUMBER((Datos!M31-Datos!W31)/Datos!W31),(Datos!M31-Datos!W31)/Datos!W31," - ")</f>
        <v>-0.13793103448275862</v>
      </c>
      <c r="G31" s="1094">
        <f>IF(ISNUMBER((Datos!N31-Datos!X31)/Datos!X31),(Datos!N31-Datos!X31)/Datos!X31," - ")</f>
        <v>0.16157690172126596</v>
      </c>
      <c r="H31" s="1095">
        <f>IF(ISNUMBER((Tasas!B31-Datos!BD31)/Datos!BD31),(Tasas!B31-Datos!BD31)/Datos!BD31," - ")</f>
        <v>-2.759625568913281E-2</v>
      </c>
      <c r="I31" s="1096">
        <f>IF(ISNUMBER((Tasas!C31-Datos!BE31)/Datos!BE31),(Tasas!C31-Datos!BE31)/Datos!BE31," - ")</f>
        <v>-2.9684624642501198E-2</v>
      </c>
      <c r="J31" s="1097">
        <f>IF(ISNUMBER((Tasas!D31-Datos!BF31)/Datos!BF31),(Tasas!D31-Datos!BF31)/Datos!BF31," - ")</f>
        <v>-0.60861613493192446</v>
      </c>
      <c r="K31" s="1097">
        <f>IF(ISNUMBER((Tasas!E31-Datos!BG31)/Datos!BG31),(Tasas!E31-Datos!BG31)/Datos!BG31," - ")</f>
        <v>-1.391525873507311E-2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wEmj3VFWnq88tKlBJxgfGVxIFgNTKoVy/NyHiOOpcj+CZAQZJnBjQbPD1WQViiQmLOd6eDxR6CLVWuMLdmtJA==" saltValue="wHW6NI4TNx9CweYKPB/+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BOI DE LLOBREGAT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1.0666666666666667</v>
      </c>
      <c r="C10" s="498">
        <f>IF(ISNUMBER(NºAsuntos!I10/NºAsuntos!G10),NºAsuntos!I10/NºAsuntos!G10," - ")</f>
        <v>1.9375</v>
      </c>
      <c r="D10" s="499">
        <f>IF(ISNUMBER('Resol  Asuntos'!D10/NºAsuntos!G10),'Resol  Asuntos'!D10/NºAsuntos!G10," - ")</f>
        <v>0.25</v>
      </c>
      <c r="E10" s="500">
        <f>IF(ISNUMBER((NºAsuntos!C10+NºAsuntos!E10)/NºAsuntos!G10),(NºAsuntos!C10+NºAsuntos!E10)/NºAsuntos!G10," - ")</f>
        <v>2.9375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0.9309954751131222</v>
      </c>
      <c r="C12" s="498">
        <f>IF(ISNUMBER(NºAsuntos!I12/NºAsuntos!G12),NºAsuntos!I12/NºAsuntos!G12," - ")</f>
        <v>1.6962332928311057</v>
      </c>
      <c r="D12" s="499">
        <f>IF(ISNUMBER('Resol  Asuntos'!D12/NºAsuntos!G12),'Resol  Asuntos'!D12/NºAsuntos!G12," - ")</f>
        <v>0.15613608748481167</v>
      </c>
      <c r="E12" s="500">
        <f>IF(ISNUMBER((NºAsuntos!C12+NºAsuntos!E12)/NºAsuntos!G12),(NºAsuntos!C12+NºAsuntos!E12)/NºAsuntos!G12," - ")</f>
        <v>2.7071688942891861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0.93213684800897367</v>
      </c>
      <c r="C14" s="1156">
        <f>IF(ISNUMBER(NºAsuntos!I14/NºAsuntos!G14),NºAsuntos!I14/NºAsuntos!G14," - ")</f>
        <v>1.6985559566787003</v>
      </c>
      <c r="D14" s="1157">
        <f>IF(ISNUMBER('Resol  Asuntos'!D14/NºAsuntos!G14),'Resol  Asuntos'!D14/NºAsuntos!G14," - ")</f>
        <v>0.15703971119133575</v>
      </c>
      <c r="E14" s="1158">
        <f>IF(ISNUMBER((NºAsuntos!C14+NºAsuntos!E14)/NºAsuntos!G14),(NºAsuntos!C14+NºAsuntos!E14)/NºAsuntos!G14," - ")</f>
        <v>2.7093862815884475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0.92408066429418745</v>
      </c>
      <c r="C17" s="498">
        <f>IF(ISNUMBER(NºAsuntos!I17/NºAsuntos!G17),NºAsuntos!I17/NºAsuntos!G17," - ")</f>
        <v>0.62644415917843388</v>
      </c>
      <c r="D17" s="499">
        <f>IF(ISNUMBER('Resol  Asuntos'!D17/NºAsuntos!G17),'Resol  Asuntos'!D17/NºAsuntos!G17," - ")</f>
        <v>0.11424903722721438</v>
      </c>
      <c r="E17" s="500">
        <f>IF(ISNUMBER((NºAsuntos!C17+NºAsuntos!E17)/NºAsuntos!G17),(NºAsuntos!C17+NºAsuntos!E17)/NºAsuntos!G17," - ")</f>
        <v>1.6258023106546855</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0.89523809523809528</v>
      </c>
      <c r="D18" s="499">
        <f>IF(ISNUMBER('Resol  Asuntos'!D18/NºAsuntos!G18),'Resol  Asuntos'!D18/NºAsuntos!G18," - ")</f>
        <v>0.10476190476190476</v>
      </c>
      <c r="E18" s="500">
        <f>IF(ISNUMBER((NºAsuntos!C18+NºAsuntos!E18)/NºAsuntos!G18),(NºAsuntos!C18+NºAsuntos!E18)/NºAsuntos!G18," - ")</f>
        <v>1.8952380952380952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0.91323448654585393</v>
      </c>
      <c r="C23" s="1156">
        <f>IF(ISNUMBER(NºAsuntos!I23/NºAsuntos!G23),NºAsuntos!I23/NºAsuntos!G23," - ")</f>
        <v>0.64341551413108844</v>
      </c>
      <c r="D23" s="1159">
        <f>IF(ISNUMBER('Resol  Asuntos'!D23/NºAsuntos!G23),'Resol  Asuntos'!D23/NºAsuntos!G23," - ")</f>
        <v>0.11365003006614552</v>
      </c>
      <c r="E23" s="1158">
        <f>IF(ISNUMBER((NºAsuntos!C23+NºAsuntos!E23)/NºAsuntos!G23),(NºAsuntos!C23+NºAsuntos!E23)/NºAsuntos!G23," - ")</f>
        <v>1.6428141912206855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0.92258601553829078</v>
      </c>
      <c r="C31" s="1099">
        <f>IF(ISNUMBER(NºAsuntos!I31/NºAsuntos!G31),NºAsuntos!I31/NºAsuntos!G31," - ")</f>
        <v>1.170827067669173</v>
      </c>
      <c r="D31" s="1100">
        <f>IF(ISNUMBER('Resol  Asuntos'!D31/NºAsuntos!G31),'Resol  Asuntos'!D31/NºAsuntos!G31," - ")</f>
        <v>0.13533834586466165</v>
      </c>
      <c r="E31" s="1101">
        <f>IF(ISNUMBER((NºAsuntos!C31+NºAsuntos!E31)/NºAsuntos!G31),(NºAsuntos!C31+NºAsuntos!E31)/NºAsuntos!G31," - ")</f>
        <v>2.1759398496240601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oaTwK0mC9HzlsuGbUpicdYPFPeaPYD4bObs3AnhDE0OecXvX3XAgOtb9c7hSLgZk5VU7FEvK5cIEVL4HeOHaw==" saltValue="3wba5UTLHRpH3OcJFtadI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BOI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31</v>
      </c>
      <c r="AB10" s="374">
        <f>IF(ISNUMBER(Datos!R10),Datos!R10," - ")</f>
        <v>21</v>
      </c>
      <c r="AC10" s="374">
        <f t="shared" ref="AC10:AC13" si="1">IF(ISNUMBER(AA10+AB10),AA10+AB10," - ")</f>
        <v>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1.0666666666666667</v>
      </c>
      <c r="AM10" s="284">
        <f>IF(ISNUMBER(((NºAsuntos!I10/NºAsuntos!G10)*11)/factor_trimestre),((NºAsuntos!I10/NºAsuntos!G10)*11)/factor_trimestre," - ")</f>
        <v>5.8125</v>
      </c>
      <c r="AN10" s="267">
        <f>IF(ISNUMBER('Resol  Asuntos'!D10/NºAsuntos!G10),'Resol  Asuntos'!D10/NºAsuntos!G10," - ")</f>
        <v>0.25</v>
      </c>
      <c r="AO10" s="268">
        <f>IF(ISNUMBER((NºAsuntos!C10+NºAsuntos!E10)/NºAsuntos!G10),(NºAsuntos!C10+NºAsuntos!E10)/NºAsuntos!G10," - ")</f>
        <v>2.9375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556</v>
      </c>
      <c r="Y12" s="374">
        <f t="shared" si="0"/>
        <v>556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257</v>
      </c>
      <c r="AJ12" s="243" t="str">
        <f>IF(ISNUMBER(Datos!BW12),Datos!BW12," - ")</f>
        <v xml:space="preserve"> - </v>
      </c>
      <c r="AK12" s="242" t="str">
        <f>IF(ISNUMBER(Datos!BX12),Datos!BX12," - ")</f>
        <v xml:space="preserve"> - </v>
      </c>
      <c r="AL12" s="266">
        <f>IF(ISNUMBER(NºAsuntos!G12/NºAsuntos!E12),NºAsuntos!G12/NºAsuntos!E12," - ")</f>
        <v>0.9309954751131222</v>
      </c>
      <c r="AM12" s="284">
        <f>IF(ISNUMBER(((NºAsuntos!I12/NºAsuntos!G12)*11)/factor_trimestre),((NºAsuntos!I12/NºAsuntos!G12)*11)/factor_trimestre," - ")</f>
        <v>5.0886998784933173</v>
      </c>
      <c r="AN12" s="267">
        <f>IF(ISNUMBER('Resol  Asuntos'!D12/NºAsuntos!G12),'Resol  Asuntos'!D12/NºAsuntos!G12," - ")</f>
        <v>0.15613608748481167</v>
      </c>
      <c r="AO12" s="268">
        <f>IF(ISNUMBER((NºAsuntos!C12+NºAsuntos!E12)/NºAsuntos!G12),(NºAsuntos!C12+NºAsuntos!E12)/NºAsuntos!G12," - ")</f>
        <v>2.7071688942891861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32</v>
      </c>
      <c r="G14" s="1163">
        <f t="shared" si="5"/>
        <v>32</v>
      </c>
      <c r="H14" s="1162">
        <f t="shared" si="5"/>
        <v>0</v>
      </c>
      <c r="I14" s="1164">
        <f t="shared" si="5"/>
        <v>0</v>
      </c>
      <c r="J14" s="1164">
        <f t="shared" si="5"/>
        <v>0</v>
      </c>
      <c r="K14" s="1164">
        <f t="shared" si="5"/>
        <v>0</v>
      </c>
      <c r="L14" s="1164">
        <f t="shared" si="5"/>
        <v>592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556</v>
      </c>
      <c r="Y14" s="1165">
        <f t="shared" si="6"/>
        <v>572</v>
      </c>
      <c r="Z14" s="1165">
        <f t="shared" si="6"/>
        <v>0</v>
      </c>
      <c r="AA14" s="1165">
        <f t="shared" si="6"/>
        <v>31</v>
      </c>
      <c r="AB14" s="1165">
        <f t="shared" si="6"/>
        <v>5649</v>
      </c>
      <c r="AC14" s="1165">
        <f t="shared" si="6"/>
        <v>52</v>
      </c>
      <c r="AD14" s="1165">
        <f t="shared" si="6"/>
        <v>0</v>
      </c>
      <c r="AE14" s="1169">
        <f t="shared" si="6"/>
        <v>0</v>
      </c>
      <c r="AF14" s="1162">
        <f t="shared" si="6"/>
        <v>0</v>
      </c>
      <c r="AG14" s="1170">
        <f t="shared" si="6"/>
        <v>0</v>
      </c>
      <c r="AH14" s="1167">
        <f t="shared" si="6"/>
        <v>0</v>
      </c>
      <c r="AI14" s="1162">
        <f t="shared" si="6"/>
        <v>261</v>
      </c>
      <c r="AJ14" s="1164">
        <f t="shared" si="6"/>
        <v>0</v>
      </c>
      <c r="AK14" s="1167">
        <f>SUBTOTAL(9,AK9:AK13)</f>
        <v>0</v>
      </c>
      <c r="AL14" s="1171">
        <f>IF(ISNUMBER(NºAsuntos!G14/NºAsuntos!E14),NºAsuntos!G14/NºAsuntos!E14," - ")</f>
        <v>0.93213684800897367</v>
      </c>
      <c r="AM14" s="1171">
        <f>IF(ISNUMBER(((NºAsuntos!I14/NºAsuntos!G14)*11)/factor_trimestre),((NºAsuntos!I14/NºAsuntos!G14)*11)/factor_trimestre," - ")</f>
        <v>5.0956678700361007</v>
      </c>
      <c r="AN14" s="1172">
        <f>IF(ISNUMBER('Resol  Asuntos'!D14/NºAsuntos!G14),'Resol  Asuntos'!D14/NºAsuntos!G14," - ")</f>
        <v>0.15703971119133575</v>
      </c>
      <c r="AO14" s="1173">
        <f>IF(ISNUMBER((NºAsuntos!C14+NºAsuntos!E14)/NºAsuntos!G14),(NºAsuntos!C14+NºAsuntos!E14)/NºAsuntos!G14," - ")</f>
        <v>2.7093862815884475</v>
      </c>
      <c r="AP14" s="1174" t="str">
        <f t="shared" si="2"/>
        <v xml:space="preserve"> - </v>
      </c>
      <c r="AQ14" s="1174">
        <f>IF(ISNUMBER((H14-W14+K14)/(F14)),(H14-W14+K14)/(F14)," - ")</f>
        <v>-0.5</v>
      </c>
      <c r="AR14" s="1175">
        <f>IF(ISNUMBER((Datos!P14-Datos!Q14)/(Datos!R14-Datos!P14+Datos!Q14)),(Datos!P14-Datos!Q14)/(Datos!R14-Datos!P14+Datos!Q14)," - ")</f>
        <v>6.4136825227151259E-3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848</v>
      </c>
      <c r="G17" s="373">
        <f>IF(ISNUMBER(IF(D_I="SI",Datos!I17,Datos!I17+Datos!AC17)),IF(D_I="SI",Datos!I17,Datos!I17+Datos!AC17)," - ")</f>
        <v>847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1558</v>
      </c>
      <c r="X17" s="240">
        <f>IF(ISNUMBER(Datos!Q17),Datos!Q17," - ")</f>
        <v>94</v>
      </c>
      <c r="Y17" s="374">
        <f t="shared" ref="Y17:Y22" si="9">SUM(W17:X17)</f>
        <v>1652</v>
      </c>
      <c r="Z17" s="375" t="str">
        <f>IF(ISNUMBER(Datos!CC17),Datos!CC17," - ")</f>
        <v xml:space="preserve"> - </v>
      </c>
      <c r="AA17" s="372">
        <f>IF(ISNUMBER(IF(D_I="SI",Datos!L17,Datos!L17+Datos!AF17)),IF(D_I="SI",Datos!L17,Datos!L17+Datos!AF17)," - ")</f>
        <v>976</v>
      </c>
      <c r="AB17" s="374">
        <f>IF(ISNUMBER(Datos!R17),Datos!R17," - ")</f>
        <v>325</v>
      </c>
      <c r="AC17" s="374">
        <f t="shared" si="8"/>
        <v>1301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178</v>
      </c>
      <c r="AJ17" s="245" t="str">
        <f>IF(ISNUMBER(Datos!BW17),Datos!BW17," - ")</f>
        <v xml:space="preserve"> - </v>
      </c>
      <c r="AK17" s="246" t="str">
        <f>IF(ISNUMBER(Datos!BX17),Datos!BX17," - ")</f>
        <v xml:space="preserve"> - </v>
      </c>
      <c r="AL17" s="266">
        <f>IF(ISNUMBER(NºAsuntos!G17/NºAsuntos!E17),NºAsuntos!G17/NºAsuntos!E17," - ")</f>
        <v>0.92408066429418745</v>
      </c>
      <c r="AM17" s="284">
        <f>IF(ISNUMBER(((NºAsuntos!I17/NºAsuntos!G17)*11)/factor_trimestre),((NºAsuntos!I17/NºAsuntos!G17)*11)/factor_trimestre," - ")</f>
        <v>1.8793324775353017</v>
      </c>
      <c r="AN17" s="267">
        <f>IF(ISNUMBER('Resol  Asuntos'!D17/NºAsuntos!G17),'Resol  Asuntos'!D17/NºAsuntos!G17," - ")</f>
        <v>0.11424903722721438</v>
      </c>
      <c r="AO17" s="268">
        <f>IF(ISNUMBER((NºAsuntos!C17+NºAsuntos!E17)/NºAsuntos!G17),(NºAsuntos!C17+NºAsuntos!E17)/NºAsuntos!G17," - ")</f>
        <v>1.6258023106546855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v>
      </c>
      <c r="X18" s="240">
        <f>IF(ISNUMBER(Datos!Q18),Datos!Q18," - ")</f>
        <v>0</v>
      </c>
      <c r="Y18" s="374">
        <f t="shared" si="9"/>
        <v>105</v>
      </c>
      <c r="Z18" s="375" t="str">
        <f>IF(ISNUMBER(Datos!CC18),Datos!CC18," - ")</f>
        <v xml:space="preserve"> - </v>
      </c>
      <c r="AA18" s="372">
        <f>IF(ISNUMBER(Datos!L18),Datos!L18,"-")</f>
        <v>94</v>
      </c>
      <c r="AB18" s="374">
        <f>IF(ISNUMBER(Datos!R18),Datos!R18," - ")</f>
        <v>1</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2.6857142857142859</v>
      </c>
      <c r="AN18" s="267">
        <f>IF(ISNUMBER('Resol  Asuntos'!D18/NºAsuntos!G18),'Resol  Asuntos'!D18/NºAsuntos!G18," - ")</f>
        <v>0.10476190476190476</v>
      </c>
      <c r="AO18" s="268">
        <f>IF(ISNUMBER((NºAsuntos!C18+NºAsuntos!E18)/NºAsuntos!G18),(NºAsuntos!C18+NºAsuntos!E18)/NºAsuntos!G18," - ")</f>
        <v>1.8952380952380952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848</v>
      </c>
      <c r="G23" s="1163">
        <f>SUBTOTAL(9,G16:G22)</f>
        <v>911</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1663</v>
      </c>
      <c r="X23" s="1164">
        <f t="shared" si="14"/>
        <v>94</v>
      </c>
      <c r="Y23" s="1165">
        <f t="shared" si="14"/>
        <v>1757</v>
      </c>
      <c r="Z23" s="1165">
        <f t="shared" si="14"/>
        <v>0</v>
      </c>
      <c r="AA23" s="1165">
        <f t="shared" si="14"/>
        <v>1070</v>
      </c>
      <c r="AB23" s="1165">
        <f t="shared" si="14"/>
        <v>326</v>
      </c>
      <c r="AC23" s="1165">
        <f t="shared" si="14"/>
        <v>1396</v>
      </c>
      <c r="AD23" s="1165">
        <f t="shared" si="14"/>
        <v>0</v>
      </c>
      <c r="AE23" s="1169">
        <f t="shared" si="14"/>
        <v>0</v>
      </c>
      <c r="AF23" s="1162">
        <f t="shared" si="14"/>
        <v>0</v>
      </c>
      <c r="AG23" s="1170">
        <f t="shared" si="14"/>
        <v>0</v>
      </c>
      <c r="AH23" s="1167">
        <f t="shared" si="14"/>
        <v>0</v>
      </c>
      <c r="AI23" s="1162">
        <f t="shared" si="14"/>
        <v>189</v>
      </c>
      <c r="AJ23" s="1164">
        <f t="shared" si="14"/>
        <v>0</v>
      </c>
      <c r="AK23" s="1167">
        <f t="shared" si="14"/>
        <v>0</v>
      </c>
      <c r="AL23" s="1171">
        <f>IF(ISNUMBER(NºAsuntos!G23/NºAsuntos!E23),NºAsuntos!G23/NºAsuntos!E23," - ")</f>
        <v>0.91323448654585393</v>
      </c>
      <c r="AM23" s="1171">
        <f>IF(ISNUMBER(((NºAsuntos!I23/NºAsuntos!G23)*11)/factor_trimestre),((NºAsuntos!I23/NºAsuntos!G23)*11)/factor_trimestre," - ")</f>
        <v>1.9302465423932653</v>
      </c>
      <c r="AN23" s="1172">
        <f>IF(ISNUMBER('Resol  Asuntos'!D23/NºAsuntos!G23),'Resol  Asuntos'!D23/NºAsuntos!G23," - ")</f>
        <v>0.11365003006614552</v>
      </c>
      <c r="AO23" s="1173">
        <f>IF(ISNUMBER((NºAsuntos!C23+NºAsuntos!E23)/NºAsuntos!G23),(NºAsuntos!C23+NºAsuntos!E23)/NºAsuntos!G23," - ")</f>
        <v>1.6428141912206855</v>
      </c>
      <c r="AP23" s="1174" t="str">
        <f t="shared" si="2"/>
        <v xml:space="preserve"> - </v>
      </c>
      <c r="AQ23" s="1174">
        <f>IF(ISNUMBER((H23-W23+K23)/(F23)),(H23-W23+K23)/(F23)," - ")</f>
        <v>-1.9610849056603774</v>
      </c>
      <c r="AR23" s="1175">
        <f>IF(ISNUMBER((Datos!P23-Datos!Q23)/(Datos!R23-Datos!P23+Datos!Q23)),(Datos!P23-Datos!Q23)/(Datos!R23-Datos!P23+Datos!Q23)," - ")</f>
        <v>-0.13756613756613756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880</v>
      </c>
      <c r="G31" s="1118">
        <f t="shared" si="20"/>
        <v>943</v>
      </c>
      <c r="H31" s="1117">
        <f t="shared" si="20"/>
        <v>0</v>
      </c>
      <c r="I31" s="1119">
        <f t="shared" si="20"/>
        <v>0</v>
      </c>
      <c r="J31" s="1119">
        <f t="shared" si="20"/>
        <v>0</v>
      </c>
      <c r="K31" s="1180">
        <f t="shared" si="20"/>
        <v>0</v>
      </c>
      <c r="L31" s="1119">
        <f t="shared" si="20"/>
        <v>634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1679</v>
      </c>
      <c r="X31" s="1118">
        <f t="shared" si="21"/>
        <v>650</v>
      </c>
      <c r="Y31" s="1125">
        <f t="shared" si="21"/>
        <v>2329</v>
      </c>
      <c r="Z31" s="1125">
        <f t="shared" si="21"/>
        <v>0</v>
      </c>
      <c r="AA31" s="1125">
        <f t="shared" si="21"/>
        <v>1101</v>
      </c>
      <c r="AB31" s="1125">
        <f t="shared" si="21"/>
        <v>5975</v>
      </c>
      <c r="AC31" s="1125">
        <f t="shared" si="21"/>
        <v>1448</v>
      </c>
      <c r="AD31" s="1125">
        <f t="shared" si="21"/>
        <v>0</v>
      </c>
      <c r="AE31" s="1127">
        <f t="shared" si="21"/>
        <v>0</v>
      </c>
      <c r="AF31" s="1128">
        <f t="shared" si="21"/>
        <v>0</v>
      </c>
      <c r="AG31" s="1129">
        <f t="shared" si="21"/>
        <v>0</v>
      </c>
      <c r="AH31" s="1127">
        <f t="shared" si="21"/>
        <v>0</v>
      </c>
      <c r="AI31" s="1117">
        <f t="shared" si="21"/>
        <v>450</v>
      </c>
      <c r="AJ31" s="1117">
        <f t="shared" si="21"/>
        <v>0</v>
      </c>
      <c r="AK31" s="1127">
        <f t="shared" si="21"/>
        <v>0</v>
      </c>
      <c r="AL31" s="1183">
        <f>IF(ISNUMBER(NºAsuntos!G31/NºAsuntos!E31),NºAsuntos!G31/NºAsuntos!E31," - ")</f>
        <v>0.92258601553829078</v>
      </c>
      <c r="AM31" s="1184">
        <f>IF(ISNUMBER(((NºAsuntos!I31/NºAsuntos!G31)*11)/factor_trimestre),((NºAsuntos!I31/NºAsuntos!G31)*11)/factor_trimestre," - ")</f>
        <v>3.5124812030075194</v>
      </c>
      <c r="AN31" s="1184">
        <f>IF(ISNUMBER('Resol  Asuntos'!D31/NºAsuntos!G31),'Resol  Asuntos'!D31/NºAsuntos!G31," - ")</f>
        <v>0.13533834586466165</v>
      </c>
      <c r="AO31" s="1185">
        <f>IF(ISNUMBER((NºAsuntos!C31+NºAsuntos!E31)/NºAsuntos!G31),(NºAsuntos!C31+NºAsuntos!E31)/NºAsuntos!G31," - ")</f>
        <v>2.1759398496240601</v>
      </c>
      <c r="AP31" s="1186" t="str">
        <f t="shared" si="2"/>
        <v xml:space="preserve"> - </v>
      </c>
      <c r="AQ31" s="1187">
        <f>IF(OR(ISNUMBER(FIND("01",Criterios!A8,1)),ISNUMBER(FIND("02",Criterios!A8,1)),ISNUMBER(FIND("03",Criterios!A8,1)),ISNUMBER(FIND("04",Criterios!A8,1))),(I31-W31+K31)/(F31-K31),(H31-W31+K31)/(F31-K31))</f>
        <v>-1.9079545454545455</v>
      </c>
      <c r="AR31" s="1188">
        <f>IF(ISNUMBER((Datos!P31-Datos!Q31)/(Datos!R31-Datos!P31+Datos!Q31)),(Datos!P31-Datos!Q31)/(Datos!R31-Datos!P31+Datos!Q31)," - ")</f>
        <v>-2.670672675680187E-3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429.8812239057047</v>
      </c>
      <c r="G33" s="277">
        <f>IF(ISNUMBER(STDEV(G8:G30)),STDEV(G8:G30),"-")</f>
        <v>417.39903255871639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773.90669426525278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119.79864058374906</v>
      </c>
      <c r="AJ33" s="276">
        <f t="shared" si="25"/>
        <v>0</v>
      </c>
      <c r="AK33" s="278">
        <f t="shared" si="25"/>
        <v>0</v>
      </c>
      <c r="AL33" s="273">
        <f t="shared" si="25"/>
        <v>9.1614006808145423E-2</v>
      </c>
      <c r="AM33" s="274">
        <f t="shared" si="25"/>
        <v>1.7776635844457231</v>
      </c>
      <c r="AN33" s="274">
        <f t="shared" si="25"/>
        <v>5.4277540974327701E-2</v>
      </c>
      <c r="AO33" s="275">
        <f t="shared" si="25"/>
        <v>0.59612000712269464</v>
      </c>
      <c r="AP33" s="317" t="str">
        <f t="shared" si="25"/>
        <v>-</v>
      </c>
      <c r="AQ33" s="318">
        <f t="shared" si="25"/>
        <v>1.03314304468176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96hRRAqk7fcGEi1CJfVXxHQQ0YF166CamIdoGOb6LI2kWoHDHXHxmsvmU6p1TtkPrbr7k5hQxeKXQbPCdc26w==" saltValue="L/J9lO9p5sT5F0cP7GBt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BOI DE LLOBREGAT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3.2258064516129031E-2</v>
      </c>
      <c r="E10" s="393">
        <f>IF(ISNUMBER((Datos!J10-Datos!T10)/Datos!T10),(Datos!J10-Datos!T10)/Datos!T10," - ")</f>
        <v>0.66666666666666663</v>
      </c>
      <c r="F10" s="393">
        <f>IF(ISNUMBER((Datos!K10-Datos!U10)/Datos!U10),(Datos!K10-Datos!U10)/Datos!U10," - ")</f>
        <v>1.6666666666666667</v>
      </c>
      <c r="G10" s="394">
        <f>IF(ISNUMBER((Datos!L10-Datos!V10)/Datos!V10),(Datos!L10-Datos!V10)/Datos!V10," - ")</f>
        <v>-8.8235294117647065E-2</v>
      </c>
      <c r="H10" s="244">
        <f>IF(ISNUMBER((Datos!M10-Datos!W10)/Datos!W10),(Datos!M10-Datos!W10)/Datos!W10," - ")</f>
        <v>-0.33333333333333331</v>
      </c>
      <c r="I10" s="395">
        <f>IF(ISNUMBER((Tasas!C10-Datos!BE10)/Datos!BE10),(Tasas!C10-Datos!BE10)/Datos!BE10," - ")</f>
        <v>-0.65808823529411764</v>
      </c>
      <c r="J10" s="394">
        <f>IF(ISNUMBER((Tasas!D10-Datos!BF10)/Datos!BF10),(Tasas!D10-Datos!BF10)/Datos!BF10," - ")</f>
        <v>-0.75</v>
      </c>
      <c r="K10" s="396">
        <f>IF(ISNUMBER((Tasas!E10-Datos!BG10)/Datos!BG10),(Tasas!E10-Datos!BG10)/Datos!BG10," - ")</f>
        <v>-0.55937500000000007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-0.26361031518624639</v>
      </c>
      <c r="I12" s="395">
        <f>IF(ISNUMBER((Tasas!C12-Datos!BE12)/Datos!BE12),(Tasas!C12-Datos!BE12)/Datos!BE12," - ")</f>
        <v>-3.6020564689529743E-3</v>
      </c>
      <c r="J12" s="394">
        <f>IF(ISNUMBER((Tasas!D12-Datos!BF12)/Datos!BF12),(Tasas!D12-Datos!BF12)/Datos!BF12," - ")</f>
        <v>-0.71230130126890634</v>
      </c>
      <c r="K12" s="396">
        <f>IF(ISNUMBER((Tasas!E12-Datos!BG12)/Datos!BG12),(Tasas!E12-Datos!BG12)/Datos!BG12," - ")</f>
        <v>1.5340440223970268E-3</v>
      </c>
      <c r="M12" t="e">
        <f>IF(Monitorios="SI",Datos!CE12,0)</f>
        <v>#REF!</v>
      </c>
      <c r="N12" t="e">
        <f>IF(Monitorios="SI",Datos!CF12,0)</f>
        <v>#REF!</v>
      </c>
      <c r="O12" t="e">
        <f>IF(Monitorios="SI",Datos!CG12,0)</f>
        <v>#REF!</v>
      </c>
      <c r="P12" t="e">
        <f>IF(Monitorios="SI",Datos!CH12,0)</f>
        <v>#REF!</v>
      </c>
      <c r="Q12">
        <f>IF(J_V="SI",0,Datos!AG12)</f>
        <v>70</v>
      </c>
      <c r="R12">
        <f>IF(J_V="SI",0,Datos!AH12)</f>
        <v>451</v>
      </c>
      <c r="S12">
        <f>IF(J_V="SI",0,Datos!AI12)</f>
        <v>424</v>
      </c>
      <c r="T12">
        <f>IF(J_V="SI",0,Datos!AJ12)</f>
        <v>97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-0.26478873239436618</v>
      </c>
      <c r="I14" s="402">
        <f>IF(ISNUMBER((Tasas!C14-Datos!BE14)/Datos!BE14),(Tasas!C14-Datos!BE14)/Datos!BE14," - ")</f>
        <v>-1.1278665979026997E-2</v>
      </c>
      <c r="J14" s="400">
        <f>IF(ISNUMBER((Tasas!D14-Datos!BF14)/Datos!BF14),(Tasas!D14-Datos!BF14)/Datos!BF14," - ")</f>
        <v>-0.71159053040821996</v>
      </c>
      <c r="K14" s="403">
        <f>IF(ISNUMBER((Tasas!E14-Datos!BG14)/Datos!BG14),(Tasas!E14-Datos!BG14)/Datos!BG14," - ")</f>
        <v>-3.384150633811259E-3</v>
      </c>
      <c r="M14" t="e">
        <f>IF(Monitorios="SI",Datos!CE14,0)</f>
        <v>#REF!</v>
      </c>
      <c r="N14" t="e">
        <f>IF(Monitorios="SI",Datos!CF14,0)</f>
        <v>#REF!</v>
      </c>
      <c r="O14" t="e">
        <f>IF(Monitorios="SI",Datos!CG14,0)</f>
        <v>#REF!</v>
      </c>
      <c r="P14" t="e">
        <f>IF(Monitorios="SI",Datos!CH14,0)</f>
        <v>#REF!</v>
      </c>
      <c r="Q14">
        <f>IF(J_V="SI",0,Datos!AG14)</f>
        <v>70</v>
      </c>
      <c r="R14">
        <f>IF(J_V="SI",0,Datos!AH14)</f>
        <v>451</v>
      </c>
      <c r="S14">
        <f>IF(J_V="SI",0,Datos!AI14)</f>
        <v>424</v>
      </c>
      <c r="T14">
        <f>IF(J_V="SI",0,Datos!AJ14)</f>
        <v>97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0.15081521739130435</v>
      </c>
      <c r="E17" s="393">
        <f>IF(ISNUMBER(
   IF(D_I="SI",(Datos!J17-Datos!T17)/Datos!T17,(Datos!J17+Datos!AD17-(Datos!T17+Datos!AL17))/(Datos!T17+Datos!AL17))
     ),IF(D_I="SI",(Datos!J17-Datos!T17)/Datos!T17,(Datos!J17+Datos!AD17-(Datos!T17+Datos!AL17))/(Datos!T17+Datos!AL17))," - ")</f>
        <v>0.26576576576576577</v>
      </c>
      <c r="F17" s="393">
        <f>IF(ISNUMBER(
   IF(D_I="SI",(Datos!K17-Datos!U17)/Datos!U17,(Datos!K17+Datos!AE17-(Datos!U17+Datos!AM17))/(Datos!U17+Datos!AM17))
     ),IF(D_I="SI",(Datos!K17-Datos!U17)/Datos!U17,(Datos!K17+Datos!AE17-(Datos!U17+Datos!AM17))/(Datos!U17+Datos!AM17))," - ")</f>
        <v>0.22677165354330708</v>
      </c>
      <c r="G17" s="394">
        <f>IF(ISNUMBER(
   IF(D_I="SI",(Datos!L17-Datos!V17)/Datos!V17,(Datos!L17+Datos!AF17-(Datos!V17+Datos!AN17))/(Datos!V17+Datos!AN17))
     ),IF(D_I="SI",(Datos!L17-Datos!V17)/Datos!V17,(Datos!L17+Datos!AF17-(Datos!V17+Datos!AN17))/(Datos!V17+Datos!AN17))," - ")</f>
        <v>0.22152690863579474</v>
      </c>
      <c r="H17" s="244">
        <f>IF(ISNUMBER((Datos!M17-Datos!W17)/Datos!W17),(Datos!M17-Datos!W17)/Datos!W17," - ")</f>
        <v>8.5365853658536592E-2</v>
      </c>
      <c r="I17" s="395">
        <f>IF(ISNUMBER((Tasas!C17-Datos!BE17)/Datos!BE17),(Tasas!C17-Datos!BE17)/Datos!BE17," - ")</f>
        <v>-4.275241355931084E-3</v>
      </c>
      <c r="J17" s="394">
        <f>IF(ISNUMBER((Tasas!D17-Datos!BF17)/Datos!BF17),(Tasas!D17-Datos!BF17)/Datos!BF17," - ")</f>
        <v>-0.11526660195998616</v>
      </c>
      <c r="K17" s="396">
        <f>IF(ISNUMBER((Tasas!E17-Datos!BG17)/Datos!BG17),(Tasas!E17-Datos!BG17)/Datos!BG17," - ")</f>
        <v>-1.5624107681573259E-3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0.23076923076923078</v>
      </c>
      <c r="E18" s="393">
        <f>IF(ISNUMBER(
   IF(D_I="SI",(Datos!J18-Datos!T18)/Datos!T18,(Datos!J18+Datos!AD18-(Datos!T18+Datos!AL18))/(Datos!T18+Datos!AL18))
     ),IF(D_I="SI",(Datos!J18-Datos!T18)/Datos!T18,(Datos!J18+Datos!AD18-(Datos!T18+Datos!AL18))/(Datos!T18+Datos!AL18))," - ")</f>
        <v>0.33663366336633666</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0.5161290322580645</v>
      </c>
      <c r="H18" s="244">
        <f>IF(ISNUMBER((Datos!M18-Datos!W18)/Datos!W18),(Datos!M18-Datos!W18)/Datos!W18," - ")</f>
        <v>2.6666666666666665</v>
      </c>
      <c r="I18" s="395">
        <f>IF(ISNUMBER((Tasas!C18-Datos!BE18)/Datos!BE18),(Tasas!C18-Datos!BE18)/Datos!BE18," - ")</f>
        <v>0.3139784946236559</v>
      </c>
      <c r="J18" s="394">
        <f>IF(ISNUMBER((Tasas!D18-Datos!BF18)/Datos!BF18),(Tasas!D18-Datos!BF18)/Datos!BF18," - ")</f>
        <v>2.1777777777777776</v>
      </c>
      <c r="K18" s="396">
        <f>IF(ISNUMBER((Tasas!E18-Datos!BG18)/Datos!BG18),(Tasas!E18-Datos!BG18)/Datos!BG18," - ")</f>
        <v>0.12723311546840954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0.15609137055837563</v>
      </c>
      <c r="E23" s="399">
        <f>IF(ISNUMBER(
   IF(D_I="SI",(Datos!J23-Datos!T23)/Datos!T23,(Datos!J23+Datos!AD23-(Datos!T23+Datos!AL23))/(Datos!T23+Datos!AL23))
     ),IF(D_I="SI",(Datos!J23-Datos!T23)/Datos!T23,(Datos!J23+Datos!AD23-(Datos!T23+Datos!AL23))/(Datos!T23+Datos!AL23))," - ")</f>
        <v>0.27076064200976974</v>
      </c>
      <c r="F23" s="399">
        <f>IF(ISNUMBER(
   IF(D_I="SI",(Datos!K23-Datos!U23)/Datos!U23,(Datos!K23+Datos!AE23-(Datos!U23+Datos!AM23))/(Datos!U23+Datos!AM23))
     ),IF(D_I="SI",(Datos!K23-Datos!U23)/Datos!U23,(Datos!K23+Datos!AE23-(Datos!U23+Datos!AM23))/(Datos!U23+Datos!AM23))," - ")</f>
        <v>0.221895664952241</v>
      </c>
      <c r="G23" s="400">
        <f>IF(ISNUMBER(
   IF(D_I="SI",(Datos!L23-Datos!V23)/Datos!V23,(Datos!L23+Datos!AF23-(Datos!V23+Datos!AN23))/(Datos!V23+Datos!AN23))
     ),IF(D_I="SI",(Datos!L23-Datos!V23)/Datos!V23,(Datos!L23+Datos!AF23-(Datos!V23+Datos!AN23))/(Datos!V23+Datos!AN23))," - ")</f>
        <v>0.24274099883855982</v>
      </c>
      <c r="H23" s="401">
        <f>IF(ISNUMBER((Datos!M23-Datos!W23)/Datos!W23),(Datos!M23-Datos!W23)/Datos!W23," - ")</f>
        <v>0.1317365269461078</v>
      </c>
      <c r="I23" s="402">
        <f>IF(ISNUMBER((Tasas!C23-Datos!BE23)/Datos!BE23),(Tasas!C23-Datos!BE23)/Datos!BE23," - ")</f>
        <v>1.7059831280384883E-2</v>
      </c>
      <c r="J23" s="400">
        <f>IF(ISNUMBER((Tasas!D23-Datos!BF23)/Datos!BF23),(Tasas!D23-Datos!BF23)/Datos!BF23," - ")</f>
        <v>-7.3786281916023669E-2</v>
      </c>
      <c r="K23" s="403">
        <f>IF(ISNUMBER((Tasas!E23-Datos!BG23)/Datos!BG23),(Tasas!E23-Datos!BG23)/Datos!BG23," - ")</f>
        <v>6.6952337916942415E-3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9.0390390390390388E-2</v>
      </c>
      <c r="E31" s="409">
        <f>IF(ISNUMBER(
   IF(J_V="SI",(Datos!J31-Datos!T31)/Datos!T31,(Datos!J31+Datos!Z31-(Datos!T31+Datos!AH31))/(Datos!T31+Datos!AH31))
     ),IF(J_V="SI",(Datos!J31-Datos!T31)/Datos!T31,(Datos!J31+Datos!Z31-(Datos!T31+Datos!AH31))/(Datos!T31+Datos!AH31))," - ")</f>
        <v>0.18357963875205255</v>
      </c>
      <c r="F31" s="409">
        <f>IF(ISNUMBER(
   IF(J_V="SI",(Datos!K31-Datos!U31)/Datos!U31,(Datos!K31+Datos!AA31-(Datos!U31+Datos!AI31))/(Datos!U31+Datos!AI31))
     ),IF(J_V="SI",(Datos!K31-Datos!U31)/Datos!U31,(Datos!K31+Datos!AA31-(Datos!U31+Datos!AI31))/(Datos!U31+Datos!AI31))," - ")</f>
        <v>0.15091727241259953</v>
      </c>
      <c r="G31" s="410">
        <f>IF(ISNUMBER(
   IF(J_V="SI",(Datos!L31-Datos!V31)/Datos!V31,(Datos!L31+Datos!AB31-(Datos!V31+Datos!AJ31))/(Datos!V31+Datos!AJ31))
     ),IF(J_V="SI",(Datos!L31-Datos!V31)/Datos!V31,(Datos!L31+Datos!AB31-(Datos!V31+Datos!AJ31))/(Datos!V31+Datos!AJ31))," - ")</f>
        <v>0.11675272518646013</v>
      </c>
      <c r="H31" s="411">
        <f>IF(ISNUMBER((Datos!M31-Datos!W31)/Datos!W31),(Datos!M31-Datos!W31)/Datos!W31," - ")</f>
        <v>-0.13793103448275862</v>
      </c>
      <c r="I31" s="408">
        <f>IF(ISNUMBER((Tasas!C31-Datos!BE31)/Datos!BE31),(Tasas!C31-Datos!BE31)/Datos!BE31," - ")</f>
        <v>-2.9684624642501198E-2</v>
      </c>
      <c r="J31" s="409">
        <f>IF(ISNUMBER((Tasas!D31-Datos!BF31)/Datos!BF31),(Tasas!D31-Datos!BF31)/Datos!BF31," - ")</f>
        <v>-0.60861613493192446</v>
      </c>
      <c r="K31" s="410">
        <f>IF(ISNUMBER((Tasas!E31-Datos!BG31)/Datos!BG31),(Tasas!E31-Datos!BG31)/Datos!BG31," - ")</f>
        <v>-1.391525873507311E-2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8.2054064577132643E-2</v>
      </c>
      <c r="E33" s="303">
        <f t="shared" si="1"/>
        <v>0.1905630601253116</v>
      </c>
      <c r="F33" s="303">
        <f t="shared" si="1"/>
        <v>0.73366996667186479</v>
      </c>
      <c r="G33" s="304">
        <f t="shared" si="1"/>
        <v>0.24710585340297164</v>
      </c>
      <c r="H33" s="310">
        <f t="shared" si="1"/>
        <v>1.1580180328001433</v>
      </c>
      <c r="I33" s="302">
        <f t="shared" si="1"/>
        <v>0.32004240387653837</v>
      </c>
      <c r="J33" s="303">
        <f t="shared" si="1"/>
        <v>1.1253414251024103</v>
      </c>
      <c r="K33" s="304">
        <f t="shared" si="1"/>
        <v>0.2443343467462647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UNxXWCwS7C1hg5bZRmKmMovlKvWEYMvEM7pqoIYB3XkqyAj7pBJ18WfETaASQRmQZ4XFvlRT4IYDc423qHIXQ==" saltValue="bXu+mY0E5vYcvBNxK0ZE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